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3"/>
  </bookViews>
  <sheets>
    <sheet name="biudž.įstaigos ir seniūnijos" sheetId="1" r:id="rId1"/>
    <sheet name="švietimo įstaigos" sheetId="2" r:id="rId2"/>
    <sheet name="Mokymo lėšų paskirstymas" sheetId="3" r:id="rId3"/>
    <sheet name="VB lėšos neformaliam ugdymui" sheetId="4" r:id="rId4"/>
  </sheets>
  <definedNames>
    <definedName name="_xlnm.Print_Titles" localSheetId="0">'biudž.įstaigos ir seniūnijos'!$4:$5</definedName>
  </definedNames>
  <calcPr fullCalcOnLoad="1"/>
</workbook>
</file>

<file path=xl/sharedStrings.xml><?xml version="1.0" encoding="utf-8"?>
<sst xmlns="http://schemas.openxmlformats.org/spreadsheetml/2006/main" count="383" uniqueCount="185">
  <si>
    <t xml:space="preserve">    </t>
  </si>
  <si>
    <t>sodra</t>
  </si>
  <si>
    <t>iš jų:</t>
  </si>
  <si>
    <t>mityba</t>
  </si>
  <si>
    <t>medik.</t>
  </si>
  <si>
    <t>elektra</t>
  </si>
  <si>
    <t>ryšiai</t>
  </si>
  <si>
    <t>transp.</t>
  </si>
  <si>
    <t>kvalifik.</t>
  </si>
  <si>
    <t>pašalpos</t>
  </si>
  <si>
    <t>Administracija</t>
  </si>
  <si>
    <t>Kultūros centras</t>
  </si>
  <si>
    <t>Krašto muziejus</t>
  </si>
  <si>
    <t>Viešoji biblioteka</t>
  </si>
  <si>
    <t>IŠ VISO:</t>
  </si>
  <si>
    <t>spaud.</t>
  </si>
  <si>
    <t>komand.</t>
  </si>
  <si>
    <t>vieš. ūkis</t>
  </si>
  <si>
    <t>ilg.t. rem.</t>
  </si>
  <si>
    <t>kt.pasl.</t>
  </si>
  <si>
    <t>aprang.</t>
  </si>
  <si>
    <t>šildym.</t>
  </si>
  <si>
    <t>vand.</t>
  </si>
  <si>
    <t>Įstaiga</t>
  </si>
  <si>
    <t>šiukšl.</t>
  </si>
  <si>
    <t xml:space="preserve"> Siūloma skirti </t>
  </si>
  <si>
    <t>Mero ir vicemero darbo apmok.</t>
  </si>
  <si>
    <t>ilg.t. nuom</t>
  </si>
  <si>
    <t>Kontrolės ir audito tarnyba</t>
  </si>
  <si>
    <t>Tarybos narių darbo apmokėj.</t>
  </si>
  <si>
    <t>Kūno kultūros ir sporto centras</t>
  </si>
  <si>
    <t>Turizmo ir tradic.amatų centras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</si>
  <si>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</si>
  <si>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</si>
  <si>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</si>
  <si>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</si>
  <si>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</si>
  <si>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</si>
  <si>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</si>
  <si>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</si>
  <si>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</si>
  <si>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Rokiškio kaimišk. seniūnija</t>
  </si>
  <si>
    <t>Priešgaisrinė tarnyba SF</t>
  </si>
  <si>
    <t>Socialinės paramos centras</t>
  </si>
  <si>
    <t>darbo užmok.</t>
  </si>
  <si>
    <t>prekių ir pasl. naudoj.</t>
  </si>
  <si>
    <t>komun. pasl.</t>
  </si>
  <si>
    <t>darbd.      soc. parama</t>
  </si>
  <si>
    <t>moksl. vežimas</t>
  </si>
  <si>
    <t>IŠ VISO IŠLAIDŲ</t>
  </si>
  <si>
    <t>ilg.turt. Įsigij.</t>
  </si>
  <si>
    <t>IŠ VISO ASIGNAV.</t>
  </si>
  <si>
    <t xml:space="preserve"> 2018 m. patvirt.planas</t>
  </si>
  <si>
    <t xml:space="preserve"> 2019 m. poreikis</t>
  </si>
  <si>
    <t>Rokiškio baseinas</t>
  </si>
  <si>
    <t>repre - zentac.</t>
  </si>
  <si>
    <t>informac     technol.</t>
  </si>
  <si>
    <t>ŠVIETIMO ĮSTAIGŲ</t>
  </si>
  <si>
    <t>01.21</t>
  </si>
  <si>
    <t>Įstaigos pavadinimas</t>
  </si>
  <si>
    <t xml:space="preserve">darbo užmok. </t>
  </si>
  <si>
    <t>darbo užmokestis ir sodra</t>
  </si>
  <si>
    <t>prekių ir pasl.naud.</t>
  </si>
  <si>
    <t>komun.pasl.</t>
  </si>
  <si>
    <t>informacinių technologijų prekių ir paslaugų įsigij.</t>
  </si>
  <si>
    <t>ūkinio inventoriaus įsigijimas</t>
  </si>
  <si>
    <t>kitos</t>
  </si>
  <si>
    <t>moksl.pavėž.</t>
  </si>
  <si>
    <t>ilg.turt.įsigijimas</t>
  </si>
  <si>
    <t>IŠ VISO</t>
  </si>
  <si>
    <t>apranga ir patalynė</t>
  </si>
  <si>
    <t>ilgal.turto nuoma</t>
  </si>
  <si>
    <t>ilgal.material.turto einamasis remontas</t>
  </si>
  <si>
    <t>kvalifikac.kėlimas</t>
  </si>
  <si>
    <t xml:space="preserve"> 2018 patvirt.planas</t>
  </si>
  <si>
    <t xml:space="preserve"> 2019m. poreikis</t>
  </si>
  <si>
    <t xml:space="preserve"> Siūloma skirti</t>
  </si>
  <si>
    <t>Senamiesčio progimnazija</t>
  </si>
  <si>
    <t xml:space="preserve"> Laibgalių ikimokyklinio  ir pradinio ugdymo sk.</t>
  </si>
  <si>
    <t>Kriaunų ikimokyklinio  ir pradinio ugdymo sk.</t>
  </si>
  <si>
    <t xml:space="preserve"> 2018 patvirt.planas </t>
  </si>
  <si>
    <t>Suaugusiųjų ir jaunimo mok.cent.</t>
  </si>
  <si>
    <t>J.Tumo Vaižganto gimnazija</t>
  </si>
  <si>
    <t>Bendrabutis</t>
  </si>
  <si>
    <t>J. Tūbelio  progimnazija</t>
  </si>
  <si>
    <t>Juodupės gimnazija</t>
  </si>
  <si>
    <t>Juodupės neformal.šviet.sk.</t>
  </si>
  <si>
    <t>Jūžintų pagr.m-la</t>
  </si>
  <si>
    <t>Obelių gimnazija</t>
  </si>
  <si>
    <t>Pandėlio gimnazija</t>
  </si>
  <si>
    <t xml:space="preserve"> 2018 patvirt.planas (kartu su Pandėlio pradine)</t>
  </si>
  <si>
    <t>Kazliškio ikimok.ir prad.ugd.sk.</t>
  </si>
  <si>
    <t>Rokiškio pagrindinė mokykla</t>
  </si>
  <si>
    <t>Muzikos mokykla</t>
  </si>
  <si>
    <t>Choreografijos mokykla</t>
  </si>
  <si>
    <t>Švietimo centras</t>
  </si>
  <si>
    <t>Pedagoginė psichologinė tarnyba</t>
  </si>
  <si>
    <t>Pandėlio universalus daugiafunkcis centras</t>
  </si>
  <si>
    <t xml:space="preserve"> 2018 patvirt.planas, t.sk.</t>
  </si>
  <si>
    <t>2 programa</t>
  </si>
  <si>
    <t>3 programa</t>
  </si>
  <si>
    <t xml:space="preserve"> 2019m. poreikis, t.sk.</t>
  </si>
  <si>
    <t xml:space="preserve"> Siūloma skirti, t.sk.</t>
  </si>
  <si>
    <t>Panemunėlio mokykla-daugiafunkcis centras</t>
  </si>
  <si>
    <t>2 programa (kartu su UDC)</t>
  </si>
  <si>
    <t>3 programa (UDC)</t>
  </si>
  <si>
    <t xml:space="preserve"> 2019m. poreikis, t.sk:</t>
  </si>
  <si>
    <t>VŠĮ Jaunimo centras</t>
  </si>
  <si>
    <t xml:space="preserve"> 2019m. poreikis (sodra 1,77 proc.)</t>
  </si>
  <si>
    <t>VŠĮ Jaunimo centras Žiobiškio sk.</t>
  </si>
  <si>
    <t>Valstybės biudžeto lėšos mokytojų, dirbančių pagal neformaliojo ugdymo programas, darbo apmokėjimui</t>
  </si>
  <si>
    <t>Eil. Nr.</t>
  </si>
  <si>
    <t>Įstaiga (asignavimų valdytojas)</t>
  </si>
  <si>
    <t>2018 m. spalio 1 d.</t>
  </si>
  <si>
    <t>12 mėn.</t>
  </si>
  <si>
    <t xml:space="preserve"> Valstybės biudžeto lėšos </t>
  </si>
  <si>
    <t>t.sk. darbo užmokesčiui</t>
  </si>
  <si>
    <t>Etatų skaičius</t>
  </si>
  <si>
    <t>1 mėn. DU fondas, Eur (su SD įmokomis)</t>
  </si>
  <si>
    <t>Rudolfo Lymano muzikos mokykla</t>
  </si>
  <si>
    <t>Juodupės gimnazijos neformaliojo švietimo skyrius</t>
  </si>
  <si>
    <t>Kamajų gimnazijos neformaliojo švietimo skyrius</t>
  </si>
  <si>
    <t>Obelių gimnazijos neformaliojo švietimo skyrius</t>
  </si>
  <si>
    <t>Iš viso:</t>
  </si>
  <si>
    <t>2019 metams skirtos mokymo lėšos ir įstaigų pateiktas lėšų poreikis (eurais)</t>
  </si>
  <si>
    <t>Mokymo lėšos</t>
  </si>
  <si>
    <t>Eil.Nr.</t>
  </si>
  <si>
    <t>Mokinių skaičius 2018-09-01</t>
  </si>
  <si>
    <t>Apskaičiuotos lėšos ugdymo planui įgyvendinti (pagal metodiką)</t>
  </si>
  <si>
    <t xml:space="preserve">Skiriama iš saviv.perskirst.dalies - lėšos ugdymo finansavimo poreikių skirtumams sumažinti </t>
  </si>
  <si>
    <t>Iš viso lėšos ugdymo planui įgyvendinti</t>
  </si>
  <si>
    <t xml:space="preserve">Lėšos ugdymo procesui organizuoti ir valdyti pagal metodiką </t>
  </si>
  <si>
    <t>Įstaigų pateiktas lėšų poreikis  ugdymo procesui organizuoti ir valdyti (be kintamos dalies)</t>
  </si>
  <si>
    <t>Kintamai daliai 8 proc.</t>
  </si>
  <si>
    <t>Iš viso poreikis su kintama dalimi</t>
  </si>
  <si>
    <t>Skiriamos Mokymo lėšos ugdymo procesui organizuoti ir valdyti</t>
  </si>
  <si>
    <t xml:space="preserve">Lėšos švietimo  pagalbai pagal metodiką </t>
  </si>
  <si>
    <t>Papildomas lėšų  poreikis pagalbai</t>
  </si>
  <si>
    <t>Iš viso metodika+papildomas poreikis</t>
  </si>
  <si>
    <t>Skirti mokymo lėšų pagalbai</t>
  </si>
  <si>
    <t>Skirti lėšų pagalbai iš viso</t>
  </si>
  <si>
    <t>Lėšos kitoms reikmėms</t>
  </si>
  <si>
    <t>Iš viso mokykloms apskaičiuotos mokymo lėšos  pagal naują metodiką nuo 2019-01-01</t>
  </si>
  <si>
    <t>Juozo Tūbelio progimnazija</t>
  </si>
  <si>
    <t>Juozo Tumo Vaižganto gimnazija</t>
  </si>
  <si>
    <t>Lopšelis-darželis "Nykštukas"</t>
  </si>
  <si>
    <t>Lopšelis-darželis "Pumpurėlis"</t>
  </si>
  <si>
    <t>Lopšelis/darželis "Varpelis"</t>
  </si>
  <si>
    <t>Mokykla-darželis "Ąžuoliukas"</t>
  </si>
  <si>
    <t>Juodupės lopšelis- darželis</t>
  </si>
  <si>
    <t>Jūžintų Juozo Otto Širvydo pagrindinė mokykla</t>
  </si>
  <si>
    <t>Kamajų Antano Strazdo gimnazija</t>
  </si>
  <si>
    <t>Kamajų A. Strazdo gimnazijos ikimokyklinio ugdymo skyrius</t>
  </si>
  <si>
    <t>Kavoliškio mokykla-darželis</t>
  </si>
  <si>
    <t>Obelių lopšelis-darželis</t>
  </si>
  <si>
    <t>Pandėlio gimnazijos  Kazliškio ikimokyklinio ir pradinio ugdymo sk.</t>
  </si>
  <si>
    <t>Senamiesčio progimnazijos Kriaunų ikimokyklinio ir pradinio ugdymo sk.</t>
  </si>
  <si>
    <t>Senamiesčio progimnazijos Laibgalių ikimokyklinio ir pradinio ugdymo sk.</t>
  </si>
  <si>
    <t>Suaugusiųjų ir jaunimo mokymo centras</t>
  </si>
  <si>
    <t>Suaugusiųjų ir jaunimo mok.c. VŠĮ Rokiškio psich.ligoninės sk.</t>
  </si>
  <si>
    <t>Be darželių</t>
  </si>
  <si>
    <t>Pedagoginė-psichologinė tarnyba</t>
  </si>
  <si>
    <t>Mokymosi pasiekimų patikrinimams organizuoti ir vykdyti</t>
  </si>
  <si>
    <t>Formalųjį švietimą papildančio ugdymo progr., iš jų:</t>
  </si>
  <si>
    <t>VŠĮ Rokiškio jaunimo centras</t>
  </si>
  <si>
    <t>Rudolfo Lymano  muzikos mokykla</t>
  </si>
  <si>
    <t>Iš viso</t>
  </si>
  <si>
    <t>Skirta</t>
  </si>
  <si>
    <t>Skirtumas</t>
  </si>
  <si>
    <t>Iš viso mokymo lėšos (6+11+13+14)</t>
  </si>
  <si>
    <t xml:space="preserve"> </t>
  </si>
  <si>
    <t>2019 METŲ BIUDŽETO PROJEKTAS</t>
  </si>
  <si>
    <t>01.22</t>
  </si>
  <si>
    <t>SAVIVALDYBĖS BIUDŽETO LĖŠŲ PLANAS 2019 METAMS (eurais)</t>
  </si>
  <si>
    <t>L.-d. ,,Nykštukas"</t>
  </si>
  <si>
    <t>L.-d. ,,Pumpurėlis"</t>
  </si>
  <si>
    <t>Juodupės l.-d.</t>
  </si>
  <si>
    <t>M.-d. ,,Ąžuoliukas"</t>
  </si>
  <si>
    <t>Obelių l.-d.</t>
  </si>
  <si>
    <t>Kavoliškio m.-d.</t>
  </si>
  <si>
    <t>L.-d. ,,Varpelis"</t>
  </si>
  <si>
    <t>Kamajų A. Strazdo gimn.</t>
  </si>
  <si>
    <t>Kamajų Ikim.ugd.  sk.</t>
  </si>
  <si>
    <t>Kamajų neformal.  šviet. sk.</t>
  </si>
  <si>
    <t>Obelių neformal. šviet. sk.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</si>
</sst>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0"/>
    <numFmt numFmtId="184" formatCode="0.0000"/>
    <numFmt numFmtId="185" formatCode="_-[$€-2]\ * #,##0.00_-;\-[$€-2]\ * #,##0.00_-;_-[$€-2]\ * &quot;-&quot;??_-;_-@_-"/>
    <numFmt numFmtId="186" formatCode="0.000000"/>
    <numFmt numFmtId="187" formatCode="0.0000000"/>
    <numFmt numFmtId="188" formatCode="0.00000000"/>
    <numFmt numFmtId="189" formatCode="0.000000000"/>
    <numFmt numFmtId="190" formatCode=";;;"/>
  </numFmts>
  <fonts count="5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10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2" borderId="10" xfId="0" applyFill="1" applyBorder="1" applyAlignment="1">
      <alignment/>
    </xf>
    <xf numFmtId="1" fontId="0" fillId="32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180" fontId="0" fillId="0" borderId="20" xfId="0" applyNumberFormat="1" applyBorder="1" applyAlignment="1">
      <alignment/>
    </xf>
    <xf numFmtId="18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32" borderId="2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25" xfId="0" applyNumberFormat="1" applyBorder="1" applyAlignment="1">
      <alignment/>
    </xf>
    <xf numFmtId="180" fontId="0" fillId="0" borderId="25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80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32" borderId="20" xfId="0" applyFill="1" applyBorder="1" applyAlignment="1">
      <alignment/>
    </xf>
    <xf numFmtId="0" fontId="0" fillId="0" borderId="29" xfId="0" applyBorder="1" applyAlignment="1">
      <alignment/>
    </xf>
    <xf numFmtId="0" fontId="0" fillId="32" borderId="27" xfId="0" applyFill="1" applyBorder="1" applyAlignment="1">
      <alignment/>
    </xf>
    <xf numFmtId="1" fontId="0" fillId="32" borderId="27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180" fontId="0" fillId="0" borderId="32" xfId="0" applyNumberFormat="1" applyBorder="1" applyAlignment="1">
      <alignment/>
    </xf>
    <xf numFmtId="181" fontId="0" fillId="0" borderId="27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1" fontId="5" fillId="0" borderId="36" xfId="0" applyNumberFormat="1" applyFont="1" applyBorder="1" applyAlignment="1">
      <alignment/>
    </xf>
    <xf numFmtId="1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180" fontId="0" fillId="0" borderId="16" xfId="0" applyNumberFormat="1" applyBorder="1" applyAlignment="1">
      <alignment/>
    </xf>
    <xf numFmtId="180" fontId="0" fillId="0" borderId="3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2" borderId="36" xfId="0" applyFill="1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3" fontId="0" fillId="0" borderId="36" xfId="0" applyNumberFormat="1" applyBorder="1" applyAlignment="1">
      <alignment/>
    </xf>
    <xf numFmtId="0" fontId="4" fillId="0" borderId="3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1" fontId="0" fillId="32" borderId="36" xfId="0" applyNumberFormat="1" applyFill="1" applyBorder="1" applyAlignment="1">
      <alignment/>
    </xf>
    <xf numFmtId="180" fontId="0" fillId="32" borderId="20" xfId="0" applyNumberFormat="1" applyFill="1" applyBorder="1" applyAlignment="1">
      <alignment/>
    </xf>
    <xf numFmtId="180" fontId="0" fillId="32" borderId="40" xfId="0" applyNumberFormat="1" applyFill="1" applyBorder="1" applyAlignment="1">
      <alignment/>
    </xf>
    <xf numFmtId="1" fontId="0" fillId="12" borderId="10" xfId="0" applyNumberFormat="1" applyFill="1" applyBorder="1" applyAlignment="1">
      <alignment/>
    </xf>
    <xf numFmtId="1" fontId="0" fillId="12" borderId="41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32" borderId="25" xfId="0" applyFill="1" applyBorder="1" applyAlignment="1">
      <alignment/>
    </xf>
    <xf numFmtId="1" fontId="0" fillId="32" borderId="42" xfId="0" applyNumberFormat="1" applyFill="1" applyBorder="1" applyAlignment="1">
      <alignment/>
    </xf>
    <xf numFmtId="180" fontId="0" fillId="0" borderId="43" xfId="0" applyNumberFormat="1" applyBorder="1" applyAlignment="1">
      <alignment/>
    </xf>
    <xf numFmtId="1" fontId="0" fillId="32" borderId="44" xfId="0" applyNumberFormat="1" applyFill="1" applyBorder="1" applyAlignment="1">
      <alignment/>
    </xf>
    <xf numFmtId="0" fontId="0" fillId="13" borderId="45" xfId="0" applyFill="1" applyBorder="1" applyAlignment="1">
      <alignment/>
    </xf>
    <xf numFmtId="1" fontId="0" fillId="13" borderId="21" xfId="0" applyNumberFormat="1" applyFill="1" applyBorder="1" applyAlignment="1">
      <alignment/>
    </xf>
    <xf numFmtId="0" fontId="0" fillId="13" borderId="21" xfId="0" applyFill="1" applyBorder="1" applyAlignment="1">
      <alignment/>
    </xf>
    <xf numFmtId="1" fontId="0" fillId="13" borderId="46" xfId="0" applyNumberFormat="1" applyFill="1" applyBorder="1" applyAlignment="1">
      <alignment/>
    </xf>
    <xf numFmtId="1" fontId="0" fillId="13" borderId="13" xfId="0" applyNumberFormat="1" applyFill="1" applyBorder="1" applyAlignment="1">
      <alignment/>
    </xf>
    <xf numFmtId="1" fontId="0" fillId="32" borderId="41" xfId="0" applyNumberFormat="1" applyFill="1" applyBorder="1" applyAlignment="1">
      <alignment/>
    </xf>
    <xf numFmtId="1" fontId="0" fillId="32" borderId="47" xfId="0" applyNumberFormat="1" applyFill="1" applyBorder="1" applyAlignment="1">
      <alignment/>
    </xf>
    <xf numFmtId="1" fontId="0" fillId="9" borderId="21" xfId="0" applyNumberFormat="1" applyFill="1" applyBorder="1" applyAlignment="1">
      <alignment/>
    </xf>
    <xf numFmtId="180" fontId="0" fillId="9" borderId="45" xfId="0" applyNumberFormat="1" applyFill="1" applyBorder="1" applyAlignment="1">
      <alignment/>
    </xf>
    <xf numFmtId="0" fontId="0" fillId="9" borderId="21" xfId="0" applyFill="1" applyBorder="1" applyAlignment="1">
      <alignment/>
    </xf>
    <xf numFmtId="0" fontId="0" fillId="9" borderId="45" xfId="0" applyFill="1" applyBorder="1" applyAlignment="1">
      <alignment/>
    </xf>
    <xf numFmtId="1" fontId="0" fillId="9" borderId="45" xfId="0" applyNumberFormat="1" applyFill="1" applyBorder="1" applyAlignment="1">
      <alignment/>
    </xf>
    <xf numFmtId="180" fontId="0" fillId="9" borderId="21" xfId="0" applyNumberFormat="1" applyFill="1" applyBorder="1" applyAlignment="1">
      <alignment/>
    </xf>
    <xf numFmtId="180" fontId="0" fillId="9" borderId="46" xfId="0" applyNumberFormat="1" applyFill="1" applyBorder="1" applyAlignment="1">
      <alignment/>
    </xf>
    <xf numFmtId="0" fontId="0" fillId="0" borderId="48" xfId="0" applyBorder="1" applyAlignment="1">
      <alignment/>
    </xf>
    <xf numFmtId="1" fontId="0" fillId="0" borderId="49" xfId="0" applyNumberFormat="1" applyBorder="1" applyAlignment="1">
      <alignment/>
    </xf>
    <xf numFmtId="1" fontId="0" fillId="32" borderId="50" xfId="0" applyNumberFormat="1" applyFill="1" applyBorder="1" applyAlignment="1">
      <alignment/>
    </xf>
    <xf numFmtId="1" fontId="0" fillId="0" borderId="50" xfId="0" applyNumberFormat="1" applyBorder="1" applyAlignment="1">
      <alignment/>
    </xf>
    <xf numFmtId="0" fontId="0" fillId="9" borderId="48" xfId="0" applyFill="1" applyBorder="1" applyAlignment="1">
      <alignment/>
    </xf>
    <xf numFmtId="1" fontId="0" fillId="9" borderId="49" xfId="0" applyNumberFormat="1" applyFill="1" applyBorder="1" applyAlignment="1">
      <alignment/>
    </xf>
    <xf numFmtId="1" fontId="0" fillId="9" borderId="43" xfId="0" applyNumberFormat="1" applyFill="1" applyBorder="1" applyAlignment="1">
      <alignment/>
    </xf>
    <xf numFmtId="0" fontId="0" fillId="32" borderId="51" xfId="0" applyFill="1" applyBorder="1" applyAlignment="1">
      <alignment/>
    </xf>
    <xf numFmtId="1" fontId="0" fillId="32" borderId="52" xfId="0" applyNumberFormat="1" applyFill="1" applyBorder="1" applyAlignment="1">
      <alignment/>
    </xf>
    <xf numFmtId="1" fontId="0" fillId="13" borderId="42" xfId="0" applyNumberFormat="1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45" xfId="0" applyNumberFormat="1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21" xfId="0" applyNumberFormat="1" applyFill="1" applyBorder="1" applyAlignment="1">
      <alignment/>
    </xf>
    <xf numFmtId="180" fontId="0" fillId="33" borderId="21" xfId="0" applyNumberFormat="1" applyFill="1" applyBorder="1" applyAlignment="1">
      <alignment/>
    </xf>
    <xf numFmtId="180" fontId="0" fillId="33" borderId="46" xfId="0" applyNumberFormat="1" applyFill="1" applyBorder="1" applyAlignment="1">
      <alignment/>
    </xf>
    <xf numFmtId="0" fontId="0" fillId="33" borderId="53" xfId="0" applyFill="1" applyBorder="1" applyAlignment="1">
      <alignment/>
    </xf>
    <xf numFmtId="1" fontId="0" fillId="33" borderId="54" xfId="0" applyNumberFormat="1" applyFill="1" applyBorder="1" applyAlignment="1">
      <alignment/>
    </xf>
    <xf numFmtId="1" fontId="0" fillId="33" borderId="44" xfId="0" applyNumberFormat="1" applyFill="1" applyBorder="1" applyAlignment="1">
      <alignment/>
    </xf>
    <xf numFmtId="0" fontId="0" fillId="11" borderId="45" xfId="0" applyFill="1" applyBorder="1" applyAlignment="1">
      <alignment/>
    </xf>
    <xf numFmtId="1" fontId="0" fillId="11" borderId="21" xfId="0" applyNumberFormat="1" applyFill="1" applyBorder="1" applyAlignment="1">
      <alignment/>
    </xf>
    <xf numFmtId="0" fontId="0" fillId="11" borderId="21" xfId="0" applyFill="1" applyBorder="1" applyAlignment="1">
      <alignment/>
    </xf>
    <xf numFmtId="180" fontId="0" fillId="11" borderId="21" xfId="0" applyNumberFormat="1" applyFill="1" applyBorder="1" applyAlignment="1">
      <alignment/>
    </xf>
    <xf numFmtId="0" fontId="0" fillId="11" borderId="46" xfId="0" applyFill="1" applyBorder="1" applyAlignment="1">
      <alignment/>
    </xf>
    <xf numFmtId="0" fontId="0" fillId="11" borderId="13" xfId="0" applyFill="1" applyBorder="1" applyAlignment="1">
      <alignment/>
    </xf>
    <xf numFmtId="1" fontId="0" fillId="11" borderId="42" xfId="0" applyNumberFormat="1" applyFill="1" applyBorder="1" applyAlignment="1">
      <alignment/>
    </xf>
    <xf numFmtId="0" fontId="0" fillId="11" borderId="55" xfId="0" applyFont="1" applyFill="1" applyBorder="1" applyAlignment="1">
      <alignment vertical="top" wrapText="1"/>
    </xf>
    <xf numFmtId="0" fontId="0" fillId="12" borderId="11" xfId="0" applyFill="1" applyBorder="1" applyAlignment="1">
      <alignment/>
    </xf>
    <xf numFmtId="0" fontId="0" fillId="12" borderId="10" xfId="0" applyFill="1" applyBorder="1" applyAlignment="1">
      <alignment/>
    </xf>
    <xf numFmtId="1" fontId="0" fillId="12" borderId="11" xfId="0" applyNumberFormat="1" applyFill="1" applyBorder="1" applyAlignment="1">
      <alignment/>
    </xf>
    <xf numFmtId="180" fontId="0" fillId="12" borderId="10" xfId="0" applyNumberFormat="1" applyFill="1" applyBorder="1" applyAlignment="1">
      <alignment/>
    </xf>
    <xf numFmtId="180" fontId="0" fillId="12" borderId="56" xfId="0" applyNumberFormat="1" applyFill="1" applyBorder="1" applyAlignment="1">
      <alignment/>
    </xf>
    <xf numFmtId="0" fontId="0" fillId="12" borderId="12" xfId="0" applyFill="1" applyBorder="1" applyAlignment="1">
      <alignment/>
    </xf>
    <xf numFmtId="0" fontId="3" fillId="32" borderId="5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Font="1" applyAlignment="1">
      <alignment/>
    </xf>
    <xf numFmtId="0" fontId="52" fillId="0" borderId="50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36" borderId="57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36" borderId="48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52" xfId="0" applyFont="1" applyBorder="1" applyAlignment="1">
      <alignment wrapText="1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" fontId="0" fillId="36" borderId="58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9" fillId="0" borderId="59" xfId="0" applyFont="1" applyBorder="1" applyAlignment="1">
      <alignment/>
    </xf>
    <xf numFmtId="0" fontId="49" fillId="0" borderId="60" xfId="0" applyFont="1" applyBorder="1" applyAlignment="1">
      <alignment/>
    </xf>
    <xf numFmtId="0" fontId="49" fillId="0" borderId="59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36" borderId="58" xfId="0" applyFont="1" applyFill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37" borderId="59" xfId="0" applyNumberFormat="1" applyFont="1" applyFill="1" applyBorder="1" applyAlignment="1">
      <alignment horizontal="center" vertical="center" wrapText="1"/>
    </xf>
    <xf numFmtId="1" fontId="4" fillId="37" borderId="59" xfId="0" applyNumberFormat="1" applyFont="1" applyFill="1" applyBorder="1" applyAlignment="1">
      <alignment vertical="top" wrapText="1"/>
    </xf>
    <xf numFmtId="1" fontId="4" fillId="38" borderId="64" xfId="0" applyNumberFormat="1" applyFont="1" applyFill="1" applyBorder="1" applyAlignment="1">
      <alignment vertical="top" wrapText="1"/>
    </xf>
    <xf numFmtId="1" fontId="4" fillId="39" borderId="59" xfId="0" applyNumberFormat="1" applyFont="1" applyFill="1" applyBorder="1" applyAlignment="1">
      <alignment vertical="top" wrapText="1"/>
    </xf>
    <xf numFmtId="1" fontId="4" fillId="39" borderId="65" xfId="0" applyNumberFormat="1" applyFont="1" applyFill="1" applyBorder="1" applyAlignment="1">
      <alignment vertical="top" wrapText="1"/>
    </xf>
    <xf numFmtId="0" fontId="4" fillId="38" borderId="66" xfId="0" applyNumberFormat="1" applyFont="1" applyFill="1" applyBorder="1" applyAlignment="1">
      <alignment horizontal="center" vertical="top" wrapText="1"/>
    </xf>
    <xf numFmtId="1" fontId="4" fillId="26" borderId="59" xfId="0" applyNumberFormat="1" applyFont="1" applyFill="1" applyBorder="1" applyAlignment="1">
      <alignment horizontal="center" vertical="top" wrapText="1"/>
    </xf>
    <xf numFmtId="0" fontId="4" fillId="26" borderId="65" xfId="0" applyNumberFormat="1" applyFont="1" applyFill="1" applyBorder="1" applyAlignment="1">
      <alignment horizontal="center" vertical="top" wrapText="1"/>
    </xf>
    <xf numFmtId="0" fontId="4" fillId="26" borderId="67" xfId="0" applyNumberFormat="1" applyFont="1" applyFill="1" applyBorder="1" applyAlignment="1">
      <alignment horizontal="center" vertical="top" wrapText="1"/>
    </xf>
    <xf numFmtId="0" fontId="4" fillId="38" borderId="64" xfId="0" applyNumberFormat="1" applyFont="1" applyFill="1" applyBorder="1" applyAlignment="1">
      <alignment horizontal="center" vertical="top" wrapText="1"/>
    </xf>
    <xf numFmtId="0" fontId="4" fillId="38" borderId="68" xfId="0" applyNumberFormat="1" applyFont="1" applyFill="1" applyBorder="1" applyAlignment="1">
      <alignment horizontal="center" vertical="top" wrapText="1"/>
    </xf>
    <xf numFmtId="1" fontId="4" fillId="40" borderId="66" xfId="0" applyNumberFormat="1" applyFont="1" applyFill="1" applyBorder="1" applyAlignment="1">
      <alignment vertical="top" wrapText="1"/>
    </xf>
    <xf numFmtId="1" fontId="4" fillId="9" borderId="59" xfId="0" applyNumberFormat="1" applyFont="1" applyFill="1" applyBorder="1" applyAlignment="1">
      <alignment vertical="top" wrapText="1"/>
    </xf>
    <xf numFmtId="0" fontId="4" fillId="0" borderId="59" xfId="0" applyNumberFormat="1" applyFont="1" applyBorder="1" applyAlignment="1">
      <alignment horizontal="center" wrapText="1"/>
    </xf>
    <xf numFmtId="0" fontId="4" fillId="0" borderId="67" xfId="0" applyNumberFormat="1" applyFont="1" applyBorder="1" applyAlignment="1">
      <alignment horizontal="center" wrapText="1"/>
    </xf>
    <xf numFmtId="0" fontId="4" fillId="0" borderId="58" xfId="0" applyNumberFormat="1" applyFont="1" applyBorder="1" applyAlignment="1">
      <alignment horizontal="center" wrapText="1"/>
    </xf>
    <xf numFmtId="0" fontId="4" fillId="37" borderId="59" xfId="0" applyNumberFormat="1" applyFont="1" applyFill="1" applyBorder="1" applyAlignment="1">
      <alignment horizontal="center" wrapText="1"/>
    </xf>
    <xf numFmtId="0" fontId="4" fillId="37" borderId="67" xfId="0" applyNumberFormat="1" applyFont="1" applyFill="1" applyBorder="1" applyAlignment="1">
      <alignment horizontal="center" wrapText="1"/>
    </xf>
    <xf numFmtId="0" fontId="4" fillId="38" borderId="55" xfId="0" applyNumberFormat="1" applyFont="1" applyFill="1" applyBorder="1" applyAlignment="1">
      <alignment horizontal="center" wrapText="1"/>
    </xf>
    <xf numFmtId="1" fontId="4" fillId="39" borderId="59" xfId="0" applyNumberFormat="1" applyFont="1" applyFill="1" applyBorder="1" applyAlignment="1">
      <alignment horizontal="center" wrapText="1"/>
    </xf>
    <xf numFmtId="1" fontId="4" fillId="39" borderId="65" xfId="0" applyNumberFormat="1" applyFont="1" applyFill="1" applyBorder="1" applyAlignment="1">
      <alignment horizontal="center" wrapText="1"/>
    </xf>
    <xf numFmtId="1" fontId="4" fillId="39" borderId="67" xfId="0" applyNumberFormat="1" applyFont="1" applyFill="1" applyBorder="1" applyAlignment="1">
      <alignment horizontal="center" wrapText="1"/>
    </xf>
    <xf numFmtId="1" fontId="4" fillId="39" borderId="55" xfId="0" applyNumberFormat="1" applyFont="1" applyFill="1" applyBorder="1" applyAlignment="1">
      <alignment horizontal="center" wrapText="1"/>
    </xf>
    <xf numFmtId="0" fontId="4" fillId="38" borderId="64" xfId="0" applyNumberFormat="1" applyFont="1" applyFill="1" applyBorder="1" applyAlignment="1">
      <alignment horizontal="center" wrapText="1"/>
    </xf>
    <xf numFmtId="1" fontId="4" fillId="26" borderId="33" xfId="0" applyNumberFormat="1" applyFont="1" applyFill="1" applyBorder="1" applyAlignment="1">
      <alignment horizontal="center" wrapText="1"/>
    </xf>
    <xf numFmtId="0" fontId="4" fillId="26" borderId="31" xfId="0" applyNumberFormat="1" applyFont="1" applyFill="1" applyBorder="1" applyAlignment="1">
      <alignment horizontal="center" wrapText="1"/>
    </xf>
    <xf numFmtId="0" fontId="4" fillId="26" borderId="58" xfId="0" applyNumberFormat="1" applyFont="1" applyFill="1" applyBorder="1" applyAlignment="1">
      <alignment horizontal="center" wrapText="1"/>
    </xf>
    <xf numFmtId="0" fontId="4" fillId="26" borderId="10" xfId="0" applyNumberFormat="1" applyFont="1" applyFill="1" applyBorder="1" applyAlignment="1">
      <alignment horizontal="center" wrapText="1"/>
    </xf>
    <xf numFmtId="0" fontId="4" fillId="38" borderId="69" xfId="0" applyNumberFormat="1" applyFont="1" applyFill="1" applyBorder="1" applyAlignment="1">
      <alignment horizontal="center" wrapText="1"/>
    </xf>
    <xf numFmtId="0" fontId="4" fillId="38" borderId="68" xfId="0" applyNumberFormat="1" applyFont="1" applyFill="1" applyBorder="1" applyAlignment="1">
      <alignment horizontal="center" wrapText="1"/>
    </xf>
    <xf numFmtId="1" fontId="4" fillId="40" borderId="66" xfId="0" applyNumberFormat="1" applyFont="1" applyFill="1" applyBorder="1" applyAlignment="1">
      <alignment horizontal="center" wrapText="1"/>
    </xf>
    <xf numFmtId="1" fontId="4" fillId="9" borderId="55" xfId="0" applyNumberFormat="1" applyFont="1" applyFill="1" applyBorder="1" applyAlignment="1">
      <alignment horizontal="center" wrapText="1"/>
    </xf>
    <xf numFmtId="0" fontId="4" fillId="0" borderId="70" xfId="0" applyNumberFormat="1" applyFont="1" applyBorder="1" applyAlignment="1">
      <alignment wrapText="1"/>
    </xf>
    <xf numFmtId="0" fontId="4" fillId="0" borderId="20" xfId="0" applyNumberFormat="1" applyFont="1" applyBorder="1" applyAlignment="1">
      <alignment/>
    </xf>
    <xf numFmtId="0" fontId="4" fillId="0" borderId="71" xfId="0" applyNumberFormat="1" applyFont="1" applyBorder="1" applyAlignment="1">
      <alignment horizontal="center" vertical="center" wrapText="1"/>
    </xf>
    <xf numFmtId="0" fontId="4" fillId="37" borderId="70" xfId="0" applyNumberFormat="1" applyFont="1" applyFill="1" applyBorder="1" applyAlignment="1">
      <alignment horizontal="center" vertical="center" wrapText="1"/>
    </xf>
    <xf numFmtId="0" fontId="4" fillId="37" borderId="56" xfId="0" applyNumberFormat="1" applyFont="1" applyFill="1" applyBorder="1" applyAlignment="1">
      <alignment horizontal="center" vertical="center" wrapText="1"/>
    </xf>
    <xf numFmtId="0" fontId="4" fillId="38" borderId="35" xfId="0" applyNumberFormat="1" applyFont="1" applyFill="1" applyBorder="1" applyAlignment="1">
      <alignment horizontal="center" vertical="center" wrapText="1"/>
    </xf>
    <xf numFmtId="1" fontId="4" fillId="39" borderId="70" xfId="0" applyNumberFormat="1" applyFont="1" applyFill="1" applyBorder="1" applyAlignment="1">
      <alignment horizontal="center" vertical="center" wrapText="1"/>
    </xf>
    <xf numFmtId="1" fontId="4" fillId="39" borderId="56" xfId="0" applyNumberFormat="1" applyFont="1" applyFill="1" applyBorder="1" applyAlignment="1">
      <alignment horizontal="center" vertical="center" wrapText="1"/>
    </xf>
    <xf numFmtId="1" fontId="4" fillId="39" borderId="11" xfId="0" applyNumberFormat="1" applyFont="1" applyFill="1" applyBorder="1" applyAlignment="1">
      <alignment horizontal="center" vertical="center" wrapText="1"/>
    </xf>
    <xf numFmtId="0" fontId="4" fillId="38" borderId="72" xfId="0" applyNumberFormat="1" applyFont="1" applyFill="1" applyBorder="1" applyAlignment="1">
      <alignment horizontal="center" vertical="center" wrapText="1"/>
    </xf>
    <xf numFmtId="1" fontId="4" fillId="26" borderId="17" xfId="0" applyNumberFormat="1" applyFont="1" applyFill="1" applyBorder="1" applyAlignment="1">
      <alignment horizontal="center" vertical="center" wrapText="1"/>
    </xf>
    <xf numFmtId="0" fontId="4" fillId="26" borderId="11" xfId="0" applyNumberFormat="1" applyFont="1" applyFill="1" applyBorder="1" applyAlignment="1">
      <alignment horizontal="center" vertical="center" wrapText="1"/>
    </xf>
    <xf numFmtId="1" fontId="4" fillId="26" borderId="19" xfId="0" applyNumberFormat="1" applyFont="1" applyFill="1" applyBorder="1" applyAlignment="1">
      <alignment horizontal="center" vertical="center" wrapText="1"/>
    </xf>
    <xf numFmtId="1" fontId="4" fillId="26" borderId="10" xfId="0" applyNumberFormat="1" applyFont="1" applyFill="1" applyBorder="1" applyAlignment="1">
      <alignment horizontal="center" vertical="center" wrapText="1"/>
    </xf>
    <xf numFmtId="0" fontId="4" fillId="38" borderId="73" xfId="0" applyNumberFormat="1" applyFont="1" applyFill="1" applyBorder="1" applyAlignment="1">
      <alignment horizontal="center" vertical="center" wrapText="1"/>
    </xf>
    <xf numFmtId="1" fontId="4" fillId="38" borderId="74" xfId="0" applyNumberFormat="1" applyFont="1" applyFill="1" applyBorder="1" applyAlignment="1">
      <alignment horizontal="center" vertical="center" wrapText="1"/>
    </xf>
    <xf numFmtId="1" fontId="4" fillId="40" borderId="72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37" borderId="16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8" borderId="36" xfId="0" applyNumberFormat="1" applyFont="1" applyFill="1" applyBorder="1" applyAlignment="1">
      <alignment horizontal="center" vertical="center" wrapText="1"/>
    </xf>
    <xf numFmtId="1" fontId="4" fillId="39" borderId="16" xfId="0" applyNumberFormat="1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 wrapText="1"/>
    </xf>
    <xf numFmtId="1" fontId="4" fillId="26" borderId="16" xfId="0" applyNumberFormat="1" applyFont="1" applyFill="1" applyBorder="1" applyAlignment="1">
      <alignment horizontal="center" vertical="center" wrapText="1"/>
    </xf>
    <xf numFmtId="0" fontId="4" fillId="26" borderId="10" xfId="0" applyNumberFormat="1" applyFont="1" applyFill="1" applyBorder="1" applyAlignment="1">
      <alignment horizontal="center" vertical="center" wrapText="1"/>
    </xf>
    <xf numFmtId="1" fontId="4" fillId="26" borderId="20" xfId="0" applyNumberFormat="1" applyFont="1" applyFill="1" applyBorder="1" applyAlignment="1">
      <alignment horizontal="center" vertical="center" wrapText="1"/>
    </xf>
    <xf numFmtId="0" fontId="4" fillId="38" borderId="54" xfId="0" applyNumberFormat="1" applyFont="1" applyFill="1" applyBorder="1" applyAlignment="1">
      <alignment horizontal="center" vertical="center" wrapText="1"/>
    </xf>
    <xf numFmtId="1" fontId="4" fillId="38" borderId="27" xfId="0" applyNumberFormat="1" applyFont="1" applyFill="1" applyBorder="1" applyAlignment="1">
      <alignment horizontal="center" vertical="center" wrapText="1"/>
    </xf>
    <xf numFmtId="1" fontId="4" fillId="40" borderId="3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/>
    </xf>
    <xf numFmtId="0" fontId="4" fillId="33" borderId="49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36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0" fontId="4" fillId="33" borderId="54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" fontId="4" fillId="33" borderId="3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/>
    </xf>
    <xf numFmtId="0" fontId="4" fillId="33" borderId="20" xfId="0" applyNumberFormat="1" applyFont="1" applyFill="1" applyBorder="1" applyAlignment="1">
      <alignment/>
    </xf>
    <xf numFmtId="0" fontId="4" fillId="33" borderId="57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/>
    </xf>
    <xf numFmtId="0" fontId="4" fillId="0" borderId="49" xfId="0" applyNumberFormat="1" applyFont="1" applyBorder="1" applyAlignment="1">
      <alignment horizontal="center" vertical="center"/>
    </xf>
    <xf numFmtId="0" fontId="4" fillId="37" borderId="16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/>
    </xf>
    <xf numFmtId="1" fontId="4" fillId="39" borderId="16" xfId="0" applyNumberFormat="1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 horizontal="center" vertical="center"/>
    </xf>
    <xf numFmtId="1" fontId="4" fillId="26" borderId="16" xfId="0" applyNumberFormat="1" applyFont="1" applyFill="1" applyBorder="1" applyAlignment="1">
      <alignment horizontal="center" vertical="center"/>
    </xf>
    <xf numFmtId="1" fontId="4" fillId="40" borderId="36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/>
    </xf>
    <xf numFmtId="0" fontId="4" fillId="33" borderId="20" xfId="0" applyNumberFormat="1" applyFont="1" applyFill="1" applyBorder="1" applyAlignment="1">
      <alignment wrapText="1"/>
    </xf>
    <xf numFmtId="0" fontId="4" fillId="41" borderId="16" xfId="0" applyNumberFormat="1" applyFont="1" applyFill="1" applyBorder="1" applyAlignment="1">
      <alignment/>
    </xf>
    <xf numFmtId="0" fontId="4" fillId="41" borderId="20" xfId="0" applyNumberFormat="1" applyFont="1" applyFill="1" applyBorder="1" applyAlignment="1">
      <alignment/>
    </xf>
    <xf numFmtId="0" fontId="4" fillId="41" borderId="49" xfId="0" applyNumberFormat="1" applyFont="1" applyFill="1" applyBorder="1" applyAlignment="1">
      <alignment horizontal="center" vertical="center"/>
    </xf>
    <xf numFmtId="0" fontId="4" fillId="41" borderId="16" xfId="0" applyNumberFormat="1" applyFont="1" applyFill="1" applyBorder="1" applyAlignment="1">
      <alignment horizontal="center" vertical="center"/>
    </xf>
    <xf numFmtId="0" fontId="4" fillId="41" borderId="10" xfId="0" applyNumberFormat="1" applyFont="1" applyFill="1" applyBorder="1" applyAlignment="1">
      <alignment horizontal="center" vertical="center"/>
    </xf>
    <xf numFmtId="0" fontId="4" fillId="41" borderId="36" xfId="0" applyNumberFormat="1" applyFont="1" applyFill="1" applyBorder="1" applyAlignment="1">
      <alignment horizontal="center" vertical="center" wrapText="1"/>
    </xf>
    <xf numFmtId="1" fontId="4" fillId="41" borderId="16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 wrapText="1"/>
    </xf>
    <xf numFmtId="0" fontId="4" fillId="41" borderId="10" xfId="0" applyNumberFormat="1" applyFont="1" applyFill="1" applyBorder="1" applyAlignment="1">
      <alignment horizontal="center" vertical="center" wrapText="1"/>
    </xf>
    <xf numFmtId="1" fontId="4" fillId="41" borderId="20" xfId="0" applyNumberFormat="1" applyFont="1" applyFill="1" applyBorder="1" applyAlignment="1">
      <alignment horizontal="center" vertical="center" wrapText="1"/>
    </xf>
    <xf numFmtId="0" fontId="4" fillId="41" borderId="54" xfId="0" applyNumberFormat="1" applyFont="1" applyFill="1" applyBorder="1" applyAlignment="1">
      <alignment horizontal="center" vertical="center" wrapText="1"/>
    </xf>
    <xf numFmtId="1" fontId="4" fillId="41" borderId="27" xfId="0" applyNumberFormat="1" applyFont="1" applyFill="1" applyBorder="1" applyAlignment="1">
      <alignment horizontal="center" vertical="center" wrapText="1"/>
    </xf>
    <xf numFmtId="1" fontId="4" fillId="41" borderId="36" xfId="0" applyNumberFormat="1" applyFont="1" applyFill="1" applyBorder="1" applyAlignment="1">
      <alignment horizontal="center" vertical="center"/>
    </xf>
    <xf numFmtId="1" fontId="4" fillId="41" borderId="17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wrapText="1"/>
    </xf>
    <xf numFmtId="0" fontId="4" fillId="0" borderId="49" xfId="0" applyNumberFormat="1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/>
    </xf>
    <xf numFmtId="0" fontId="10" fillId="0" borderId="20" xfId="0" applyNumberFormat="1" applyFont="1" applyBorder="1" applyAlignment="1">
      <alignment wrapText="1"/>
    </xf>
    <xf numFmtId="0" fontId="10" fillId="0" borderId="49" xfId="0" applyNumberFormat="1" applyFont="1" applyFill="1" applyBorder="1" applyAlignment="1">
      <alignment horizontal="center" vertical="center"/>
    </xf>
    <xf numFmtId="0" fontId="10" fillId="37" borderId="50" xfId="0" applyNumberFormat="1" applyFont="1" applyFill="1" applyBorder="1" applyAlignment="1">
      <alignment horizontal="center" vertical="center"/>
    </xf>
    <xf numFmtId="0" fontId="10" fillId="37" borderId="41" xfId="0" applyNumberFormat="1" applyFont="1" applyFill="1" applyBorder="1" applyAlignment="1">
      <alignment horizontal="center" vertical="center"/>
    </xf>
    <xf numFmtId="0" fontId="4" fillId="38" borderId="47" xfId="0" applyNumberFormat="1" applyFont="1" applyFill="1" applyBorder="1" applyAlignment="1">
      <alignment horizontal="center" vertical="center" wrapText="1"/>
    </xf>
    <xf numFmtId="1" fontId="4" fillId="39" borderId="50" xfId="0" applyNumberFormat="1" applyFont="1" applyFill="1" applyBorder="1" applyAlignment="1">
      <alignment horizontal="center" vertical="center"/>
    </xf>
    <xf numFmtId="1" fontId="4" fillId="39" borderId="41" xfId="0" applyNumberFormat="1" applyFont="1" applyFill="1" applyBorder="1" applyAlignment="1">
      <alignment horizontal="center" vertical="center"/>
    </xf>
    <xf numFmtId="1" fontId="4" fillId="39" borderId="30" xfId="0" applyNumberFormat="1" applyFont="1" applyFill="1" applyBorder="1" applyAlignment="1">
      <alignment horizontal="center" vertical="center"/>
    </xf>
    <xf numFmtId="1" fontId="4" fillId="39" borderId="41" xfId="0" applyNumberFormat="1" applyFont="1" applyFill="1" applyBorder="1" applyAlignment="1">
      <alignment horizontal="center" vertical="center" wrapText="1"/>
    </xf>
    <xf numFmtId="0" fontId="4" fillId="38" borderId="34" xfId="0" applyNumberFormat="1" applyFont="1" applyFill="1" applyBorder="1" applyAlignment="1">
      <alignment horizontal="center" vertical="center" wrapText="1"/>
    </xf>
    <xf numFmtId="1" fontId="4" fillId="26" borderId="50" xfId="0" applyNumberFormat="1" applyFont="1" applyFill="1" applyBorder="1" applyAlignment="1">
      <alignment horizontal="center" vertical="center"/>
    </xf>
    <xf numFmtId="0" fontId="4" fillId="26" borderId="41" xfId="0" applyNumberFormat="1" applyFont="1" applyFill="1" applyBorder="1" applyAlignment="1">
      <alignment horizontal="center" vertical="center" wrapText="1"/>
    </xf>
    <xf numFmtId="1" fontId="4" fillId="26" borderId="41" xfId="0" applyNumberFormat="1" applyFont="1" applyFill="1" applyBorder="1" applyAlignment="1">
      <alignment horizontal="center" vertical="center" wrapText="1"/>
    </xf>
    <xf numFmtId="1" fontId="4" fillId="26" borderId="0" xfId="0" applyNumberFormat="1" applyFont="1" applyFill="1" applyBorder="1" applyAlignment="1">
      <alignment horizontal="center" vertical="center" wrapText="1"/>
    </xf>
    <xf numFmtId="0" fontId="4" fillId="38" borderId="69" xfId="0" applyNumberFormat="1" applyFont="1" applyFill="1" applyBorder="1" applyAlignment="1">
      <alignment horizontal="center" vertical="center" wrapText="1"/>
    </xf>
    <xf numFmtId="1" fontId="10" fillId="38" borderId="74" xfId="0" applyNumberFormat="1" applyFont="1" applyFill="1" applyBorder="1" applyAlignment="1">
      <alignment horizontal="center" vertical="center" wrapText="1"/>
    </xf>
    <xf numFmtId="1" fontId="10" fillId="40" borderId="36" xfId="0" applyNumberFormat="1" applyFont="1" applyFill="1" applyBorder="1" applyAlignment="1">
      <alignment horizontal="center" vertical="center"/>
    </xf>
    <xf numFmtId="0" fontId="2" fillId="0" borderId="61" xfId="0" applyNumberFormat="1" applyFont="1" applyBorder="1" applyAlignment="1">
      <alignment/>
    </xf>
    <xf numFmtId="0" fontId="12" fillId="0" borderId="62" xfId="0" applyNumberFormat="1" applyFont="1" applyBorder="1" applyAlignment="1">
      <alignment horizontal="right"/>
    </xf>
    <xf numFmtId="1" fontId="12" fillId="36" borderId="61" xfId="0" applyNumberFormat="1" applyFont="1" applyFill="1" applyBorder="1" applyAlignment="1">
      <alignment horizontal="center" vertical="center"/>
    </xf>
    <xf numFmtId="1" fontId="12" fillId="37" borderId="56" xfId="0" applyNumberFormat="1" applyFont="1" applyFill="1" applyBorder="1" applyAlignment="1">
      <alignment horizontal="center" vertical="center"/>
    </xf>
    <xf numFmtId="0" fontId="12" fillId="38" borderId="56" xfId="0" applyNumberFormat="1" applyFont="1" applyFill="1" applyBorder="1" applyAlignment="1">
      <alignment horizontal="center" vertical="center" wrapText="1"/>
    </xf>
    <xf numFmtId="1" fontId="12" fillId="38" borderId="56" xfId="0" applyNumberFormat="1" applyFont="1" applyFill="1" applyBorder="1" applyAlignment="1">
      <alignment horizontal="center" vertical="center"/>
    </xf>
    <xf numFmtId="1" fontId="12" fillId="38" borderId="75" xfId="0" applyNumberFormat="1" applyFont="1" applyFill="1" applyBorder="1" applyAlignment="1">
      <alignment horizontal="center" vertical="center"/>
    </xf>
    <xf numFmtId="1" fontId="12" fillId="40" borderId="76" xfId="0" applyNumberFormat="1" applyFont="1" applyFill="1" applyBorder="1" applyAlignment="1">
      <alignment horizontal="center" vertical="center"/>
    </xf>
    <xf numFmtId="1" fontId="12" fillId="9" borderId="61" xfId="0" applyNumberFormat="1" applyFont="1" applyFill="1" applyBorder="1" applyAlignment="1">
      <alignment horizontal="center" vertical="center"/>
    </xf>
    <xf numFmtId="0" fontId="2" fillId="34" borderId="59" xfId="0" applyNumberFormat="1" applyFont="1" applyFill="1" applyBorder="1" applyAlignment="1">
      <alignment/>
    </xf>
    <xf numFmtId="0" fontId="4" fillId="34" borderId="65" xfId="0" applyFont="1" applyFill="1" applyBorder="1" applyAlignment="1">
      <alignment/>
    </xf>
    <xf numFmtId="0" fontId="4" fillId="34" borderId="65" xfId="0" applyFont="1" applyFill="1" applyBorder="1" applyAlignment="1">
      <alignment horizontal="center"/>
    </xf>
    <xf numFmtId="0" fontId="4" fillId="38" borderId="65" xfId="0" applyFont="1" applyFill="1" applyBorder="1" applyAlignment="1">
      <alignment horizontal="center"/>
    </xf>
    <xf numFmtId="0" fontId="4" fillId="38" borderId="67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center"/>
    </xf>
    <xf numFmtId="0" fontId="4" fillId="38" borderId="66" xfId="0" applyFont="1" applyFill="1" applyBorder="1" applyAlignment="1">
      <alignment horizontal="center"/>
    </xf>
    <xf numFmtId="0" fontId="4" fillId="38" borderId="68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1" fontId="4" fillId="0" borderId="14" xfId="0" applyNumberFormat="1" applyFont="1" applyBorder="1" applyAlignment="1">
      <alignment/>
    </xf>
    <xf numFmtId="0" fontId="12" fillId="0" borderId="59" xfId="0" applyFont="1" applyFill="1" applyBorder="1" applyAlignment="1">
      <alignment/>
    </xf>
    <xf numFmtId="0" fontId="2" fillId="0" borderId="65" xfId="0" applyFont="1" applyBorder="1" applyAlignment="1">
      <alignment/>
    </xf>
    <xf numFmtId="0" fontId="12" fillId="0" borderId="66" xfId="0" applyFont="1" applyBorder="1" applyAlignment="1">
      <alignment/>
    </xf>
    <xf numFmtId="0" fontId="4" fillId="0" borderId="11" xfId="0" applyFont="1" applyFill="1" applyBorder="1" applyAlignment="1">
      <alignment/>
    </xf>
    <xf numFmtId="1" fontId="53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" fontId="7" fillId="4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8" fillId="42" borderId="10" xfId="0" applyNumberFormat="1" applyFont="1" applyFill="1" applyBorder="1" applyAlignment="1">
      <alignment/>
    </xf>
    <xf numFmtId="1" fontId="5" fillId="42" borderId="10" xfId="0" applyNumberFormat="1" applyFont="1" applyFill="1" applyBorder="1" applyAlignment="1">
      <alignment/>
    </xf>
    <xf numFmtId="1" fontId="7" fillId="43" borderId="10" xfId="0" applyNumberFormat="1" applyFont="1" applyFill="1" applyBorder="1" applyAlignment="1">
      <alignment wrapText="1"/>
    </xf>
    <xf numFmtId="1" fontId="9" fillId="43" borderId="10" xfId="0" applyNumberFormat="1" applyFont="1" applyFill="1" applyBorder="1" applyAlignment="1">
      <alignment/>
    </xf>
    <xf numFmtId="1" fontId="5" fillId="42" borderId="11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44" borderId="10" xfId="0" applyNumberFormat="1" applyFont="1" applyFill="1" applyBorder="1" applyAlignment="1">
      <alignment/>
    </xf>
    <xf numFmtId="1" fontId="7" fillId="43" borderId="11" xfId="0" applyNumberFormat="1" applyFont="1" applyFill="1" applyBorder="1" applyAlignment="1">
      <alignment/>
    </xf>
    <xf numFmtId="1" fontId="7" fillId="43" borderId="11" xfId="0" applyNumberFormat="1" applyFont="1" applyFill="1" applyBorder="1" applyAlignment="1">
      <alignment wrapText="1"/>
    </xf>
    <xf numFmtId="1" fontId="5" fillId="32" borderId="10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 wrapText="1"/>
    </xf>
    <xf numFmtId="1" fontId="7" fillId="40" borderId="11" xfId="0" applyNumberFormat="1" applyFont="1" applyFill="1" applyBorder="1" applyAlignment="1">
      <alignment/>
    </xf>
    <xf numFmtId="1" fontId="5" fillId="32" borderId="11" xfId="0" applyNumberFormat="1" applyFont="1" applyFill="1" applyBorder="1" applyAlignment="1">
      <alignment/>
    </xf>
    <xf numFmtId="1" fontId="5" fillId="4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42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" fontId="7" fillId="45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1" fontId="5" fillId="40" borderId="11" xfId="0" applyNumberFormat="1" applyFont="1" applyFill="1" applyBorder="1" applyAlignment="1">
      <alignment/>
    </xf>
    <xf numFmtId="0" fontId="4" fillId="32" borderId="14" xfId="0" applyFont="1" applyFill="1" applyBorder="1" applyAlignment="1">
      <alignment vertical="top" wrapText="1"/>
    </xf>
    <xf numFmtId="0" fontId="0" fillId="0" borderId="29" xfId="0" applyNumberFormat="1" applyBorder="1" applyAlignment="1">
      <alignment/>
    </xf>
    <xf numFmtId="0" fontId="5" fillId="32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54" fillId="32" borderId="11" xfId="0" applyNumberFormat="1" applyFont="1" applyFill="1" applyBorder="1" applyAlignment="1">
      <alignment/>
    </xf>
    <xf numFmtId="1" fontId="54" fillId="0" borderId="11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5" fillId="0" borderId="7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0" fillId="0" borderId="76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9" borderId="77" xfId="0" applyFont="1" applyFill="1" applyBorder="1" applyAlignment="1">
      <alignment horizontal="center" vertical="top" wrapText="1"/>
    </xf>
    <xf numFmtId="0" fontId="0" fillId="9" borderId="78" xfId="0" applyFill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2" fillId="33" borderId="77" xfId="0" applyFont="1" applyFill="1" applyBorder="1" applyAlignment="1">
      <alignment horizontal="center" vertical="top" wrapText="1"/>
    </xf>
    <xf numFmtId="0" fontId="2" fillId="33" borderId="78" xfId="0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12" borderId="75" xfId="0" applyFont="1" applyFill="1" applyBorder="1" applyAlignment="1">
      <alignment horizontal="center" vertical="top" wrapText="1"/>
    </xf>
    <xf numFmtId="0" fontId="0" fillId="12" borderId="30" xfId="0" applyFill="1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4" fillId="13" borderId="77" xfId="0" applyFont="1" applyFill="1" applyBorder="1" applyAlignment="1">
      <alignment horizontal="center" vertical="top" wrapText="1"/>
    </xf>
    <xf numFmtId="0" fontId="4" fillId="13" borderId="78" xfId="0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4" fillId="0" borderId="7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7" fillId="43" borderId="20" xfId="0" applyNumberFormat="1" applyFon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4" fillId="43" borderId="75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6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32" borderId="75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4" fillId="43" borderId="11" xfId="0" applyFont="1" applyFill="1" applyBorder="1" applyAlignment="1">
      <alignment vertical="top" wrapText="1"/>
    </xf>
    <xf numFmtId="0" fontId="4" fillId="0" borderId="5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8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1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80" xfId="0" applyFont="1" applyBorder="1" applyAlignment="1">
      <alignment vertical="top"/>
    </xf>
    <xf numFmtId="0" fontId="4" fillId="46" borderId="14" xfId="0" applyFont="1" applyFill="1" applyBorder="1" applyAlignment="1">
      <alignment vertical="top"/>
    </xf>
    <xf numFmtId="0" fontId="4" fillId="46" borderId="11" xfId="0" applyFont="1" applyFill="1" applyBorder="1" applyAlignment="1">
      <alignment vertical="top"/>
    </xf>
    <xf numFmtId="0" fontId="4" fillId="0" borderId="7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46" borderId="75" xfId="0" applyFont="1" applyFill="1" applyBorder="1" applyAlignment="1">
      <alignment vertical="top" wrapText="1"/>
    </xf>
    <xf numFmtId="0" fontId="4" fillId="46" borderId="11" xfId="0" applyFont="1" applyFill="1" applyBorder="1" applyAlignment="1">
      <alignment vertical="top" wrapText="1"/>
    </xf>
    <xf numFmtId="0" fontId="4" fillId="40" borderId="75" xfId="0" applyFont="1" applyFill="1" applyBorder="1" applyAlignment="1">
      <alignment vertical="top" wrapText="1"/>
    </xf>
    <xf numFmtId="0" fontId="4" fillId="40" borderId="11" xfId="0" applyFont="1" applyFill="1" applyBorder="1" applyAlignment="1">
      <alignment vertical="top" wrapText="1"/>
    </xf>
    <xf numFmtId="0" fontId="4" fillId="44" borderId="75" xfId="0" applyFont="1" applyFill="1" applyBorder="1" applyAlignment="1">
      <alignment vertical="top" wrapText="1"/>
    </xf>
    <xf numFmtId="0" fontId="4" fillId="44" borderId="11" xfId="0" applyFont="1" applyFill="1" applyBorder="1" applyAlignment="1">
      <alignment vertical="top" wrapText="1"/>
    </xf>
    <xf numFmtId="0" fontId="2" fillId="0" borderId="8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2" fontId="32" fillId="0" borderId="0" xfId="0" applyNumberFormat="1" applyFont="1" applyBorder="1" applyAlignment="1" applyProtection="1">
      <alignment horizontal="center" vertical="top" wrapText="1"/>
      <protection locked="0"/>
    </xf>
    <xf numFmtId="2" fontId="55" fillId="0" borderId="0" xfId="0" applyNumberFormat="1" applyFont="1" applyAlignment="1">
      <alignment wrapText="1"/>
    </xf>
    <xf numFmtId="182" fontId="32" fillId="0" borderId="81" xfId="0" applyNumberFormat="1" applyFont="1" applyBorder="1" applyAlignment="1" applyProtection="1">
      <alignment horizontal="center" vertical="top" wrapText="1"/>
      <protection locked="0"/>
    </xf>
    <xf numFmtId="182" fontId="0" fillId="0" borderId="0" xfId="0" applyNumberFormat="1" applyBorder="1" applyAlignment="1">
      <alignment/>
    </xf>
    <xf numFmtId="0" fontId="52" fillId="0" borderId="61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2" fillId="0" borderId="76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2" fillId="36" borderId="82" xfId="0" applyFont="1" applyFill="1" applyBorder="1" applyAlignment="1">
      <alignment vertical="top" wrapText="1"/>
    </xf>
    <xf numFmtId="0" fontId="52" fillId="36" borderId="81" xfId="0" applyFont="1" applyFill="1" applyBorder="1" applyAlignment="1">
      <alignment vertical="top" wrapText="1"/>
    </xf>
    <xf numFmtId="0" fontId="52" fillId="0" borderId="76" xfId="0" applyFont="1" applyBorder="1" applyAlignment="1">
      <alignment vertical="top" wrapText="1"/>
    </xf>
    <xf numFmtId="0" fontId="52" fillId="0" borderId="34" xfId="0" applyFont="1" applyBorder="1" applyAlignment="1">
      <alignment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121"/>
  <sheetViews>
    <sheetView showZeros="0" zoomScalePageLayoutView="0" workbookViewId="0" topLeftCell="A1">
      <pane xSplit="4" ySplit="6" topLeftCell="E6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F57" sqref="AF57"/>
    </sheetView>
  </sheetViews>
  <sheetFormatPr defaultColWidth="9.140625" defaultRowHeight="12.75"/>
  <cols>
    <col min="1" max="1" width="29.140625" style="0" customWidth="1"/>
    <col min="2" max="2" width="8.7109375" style="0" customWidth="1"/>
    <col min="3" max="3" width="8.00390625" style="0" customWidth="1"/>
    <col min="4" max="4" width="8.140625" style="0" customWidth="1"/>
    <col min="5" max="5" width="0.13671875" style="0" customWidth="1"/>
    <col min="6" max="6" width="6.00390625" style="0" customWidth="1"/>
    <col min="7" max="7" width="6.57421875" style="0" customWidth="1"/>
    <col min="8" max="8" width="7.421875" style="0" customWidth="1"/>
    <col min="9" max="10" width="5.8515625" style="0" customWidth="1"/>
    <col min="11" max="11" width="7.421875" style="0" customWidth="1"/>
    <col min="12" max="13" width="7.28125" style="0" customWidth="1"/>
    <col min="14" max="14" width="7.00390625" style="0" customWidth="1"/>
    <col min="15" max="15" width="7.140625" style="0" customWidth="1"/>
    <col min="16" max="16" width="7.8515625" style="0" customWidth="1"/>
    <col min="17" max="17" width="7.421875" style="0" customWidth="1"/>
    <col min="18" max="18" width="8.00390625" style="0" customWidth="1"/>
    <col min="19" max="22" width="6.7109375" style="0" customWidth="1"/>
    <col min="23" max="23" width="7.421875" style="0" customWidth="1"/>
    <col min="24" max="24" width="8.28125" style="0" customWidth="1"/>
    <col min="25" max="25" width="8.00390625" style="0" customWidth="1"/>
    <col min="26" max="26" width="7.57421875" style="0" customWidth="1"/>
    <col min="27" max="27" width="9.28125" style="0" customWidth="1"/>
    <col min="28" max="28" width="7.28125" style="0" customWidth="1"/>
    <col min="29" max="29" width="10.00390625" style="0" customWidth="1"/>
  </cols>
  <sheetData>
    <row r="1" ht="15" customHeight="1"/>
    <row r="3" spans="1:27" ht="15">
      <c r="A3" t="s">
        <v>0</v>
      </c>
      <c r="C3" s="1" t="s">
        <v>171</v>
      </c>
      <c r="AA3" s="328" t="s">
        <v>172</v>
      </c>
    </row>
    <row r="4" ht="13.5" customHeight="1" thickBot="1"/>
    <row r="5" spans="1:30" ht="26.25" customHeight="1" thickBot="1">
      <c r="A5" s="392" t="s">
        <v>23</v>
      </c>
      <c r="B5" s="394" t="s">
        <v>44</v>
      </c>
      <c r="C5" s="396" t="s">
        <v>1</v>
      </c>
      <c r="D5" s="397" t="s">
        <v>45</v>
      </c>
      <c r="E5" s="28"/>
      <c r="F5" s="399" t="s">
        <v>2</v>
      </c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  <c r="X5" s="402" t="s">
        <v>9</v>
      </c>
      <c r="Y5" s="382" t="s">
        <v>47</v>
      </c>
      <c r="Z5" s="384" t="s">
        <v>48</v>
      </c>
      <c r="AA5" s="386" t="s">
        <v>49</v>
      </c>
      <c r="AB5" s="388" t="s">
        <v>50</v>
      </c>
      <c r="AC5" s="390" t="s">
        <v>51</v>
      </c>
      <c r="AD5" s="9"/>
    </row>
    <row r="6" spans="1:29" ht="34.5" thickBot="1">
      <c r="A6" s="393"/>
      <c r="B6" s="395"/>
      <c r="C6" s="385"/>
      <c r="D6" s="398"/>
      <c r="E6" s="47" t="s">
        <v>3</v>
      </c>
      <c r="F6" s="51" t="s">
        <v>4</v>
      </c>
      <c r="G6" s="44" t="s">
        <v>6</v>
      </c>
      <c r="H6" s="44" t="s">
        <v>7</v>
      </c>
      <c r="I6" s="45" t="s">
        <v>20</v>
      </c>
      <c r="J6" s="44" t="s">
        <v>15</v>
      </c>
      <c r="K6" s="44" t="s">
        <v>16</v>
      </c>
      <c r="L6" s="45" t="s">
        <v>17</v>
      </c>
      <c r="M6" s="45" t="s">
        <v>27</v>
      </c>
      <c r="N6" s="45" t="s">
        <v>18</v>
      </c>
      <c r="O6" s="46" t="s">
        <v>8</v>
      </c>
      <c r="P6" s="119" t="s">
        <v>46</v>
      </c>
      <c r="Q6" s="372" t="s">
        <v>21</v>
      </c>
      <c r="R6" s="373" t="s">
        <v>5</v>
      </c>
      <c r="S6" s="373" t="s">
        <v>22</v>
      </c>
      <c r="T6" s="374" t="s">
        <v>24</v>
      </c>
      <c r="U6" s="67" t="s">
        <v>56</v>
      </c>
      <c r="V6" s="68" t="s">
        <v>55</v>
      </c>
      <c r="W6" s="52" t="s">
        <v>19</v>
      </c>
      <c r="X6" s="403"/>
      <c r="Y6" s="383"/>
      <c r="Z6" s="385"/>
      <c r="AA6" s="387"/>
      <c r="AB6" s="389"/>
      <c r="AC6" s="391"/>
    </row>
    <row r="7" spans="1:29" ht="13.5" thickBot="1">
      <c r="A7" s="375">
        <v>1</v>
      </c>
      <c r="B7" s="376">
        <v>2</v>
      </c>
      <c r="C7" s="377">
        <v>3</v>
      </c>
      <c r="D7" s="378">
        <v>4</v>
      </c>
      <c r="E7" s="379">
        <v>5</v>
      </c>
      <c r="F7" s="375">
        <v>6</v>
      </c>
      <c r="G7" s="376">
        <v>7</v>
      </c>
      <c r="H7" s="376">
        <v>8</v>
      </c>
      <c r="I7" s="376">
        <v>9</v>
      </c>
      <c r="J7" s="376">
        <v>10</v>
      </c>
      <c r="K7" s="376">
        <v>12</v>
      </c>
      <c r="L7" s="376">
        <v>13</v>
      </c>
      <c r="M7" s="376"/>
      <c r="N7" s="376">
        <v>14</v>
      </c>
      <c r="O7" s="377">
        <v>15</v>
      </c>
      <c r="P7" s="378">
        <v>16</v>
      </c>
      <c r="Q7" s="380">
        <v>17</v>
      </c>
      <c r="R7" s="376">
        <v>18</v>
      </c>
      <c r="S7" s="376">
        <v>19</v>
      </c>
      <c r="T7" s="381"/>
      <c r="U7" s="380"/>
      <c r="V7" s="376"/>
      <c r="W7" s="381">
        <v>20</v>
      </c>
      <c r="X7" s="380">
        <v>21</v>
      </c>
      <c r="Y7" s="376">
        <v>22</v>
      </c>
      <c r="Z7" s="377">
        <v>23</v>
      </c>
      <c r="AA7" s="378">
        <v>24</v>
      </c>
      <c r="AB7" s="379">
        <v>25</v>
      </c>
      <c r="AC7" s="378">
        <v>26</v>
      </c>
    </row>
    <row r="8" spans="1:29" ht="12.75">
      <c r="A8" s="16" t="s">
        <v>10</v>
      </c>
      <c r="B8" s="120"/>
      <c r="C8" s="20"/>
      <c r="D8" s="79"/>
      <c r="E8" s="9"/>
      <c r="F8" s="53"/>
      <c r="G8" s="3"/>
      <c r="H8" s="3"/>
      <c r="I8" s="3"/>
      <c r="J8" s="3"/>
      <c r="K8" s="3"/>
      <c r="L8" s="3"/>
      <c r="M8" s="3"/>
      <c r="N8" s="3"/>
      <c r="O8" s="20"/>
      <c r="P8" s="112"/>
      <c r="Q8" s="40"/>
      <c r="R8" s="3"/>
      <c r="S8" s="3"/>
      <c r="T8" s="54"/>
      <c r="U8" s="40"/>
      <c r="V8" s="3"/>
      <c r="W8" s="54"/>
      <c r="X8" s="40"/>
      <c r="Y8" s="3"/>
      <c r="Z8" s="20"/>
      <c r="AA8" s="89"/>
      <c r="AB8" s="29"/>
      <c r="AC8" s="103"/>
    </row>
    <row r="9" spans="1:29" ht="12.75">
      <c r="A9" s="15" t="s">
        <v>52</v>
      </c>
      <c r="B9" s="72">
        <v>1288559</v>
      </c>
      <c r="C9" s="39">
        <v>385362</v>
      </c>
      <c r="D9" s="80">
        <f>E9+F9+G9+H9+I9+J9+K9+L9+N9+O9+P9+W9+U9</f>
        <v>172907</v>
      </c>
      <c r="E9" s="30"/>
      <c r="F9" s="17"/>
      <c r="G9" s="7">
        <v>12900</v>
      </c>
      <c r="H9" s="7">
        <v>36850</v>
      </c>
      <c r="I9" s="2"/>
      <c r="J9" s="7"/>
      <c r="K9" s="7">
        <v>1713</v>
      </c>
      <c r="L9" s="2"/>
      <c r="M9" s="2"/>
      <c r="N9" s="2"/>
      <c r="O9" s="22">
        <v>6950</v>
      </c>
      <c r="P9" s="113">
        <f>Q9+R9+S9+T9</f>
        <v>37744</v>
      </c>
      <c r="Q9" s="37">
        <v>16414</v>
      </c>
      <c r="R9" s="7">
        <v>17630</v>
      </c>
      <c r="S9" s="7">
        <v>2100</v>
      </c>
      <c r="T9" s="56">
        <v>1600</v>
      </c>
      <c r="U9" s="37">
        <v>15800</v>
      </c>
      <c r="V9" s="7"/>
      <c r="W9" s="55">
        <f>46950+14000</f>
        <v>60950</v>
      </c>
      <c r="X9" s="35"/>
      <c r="Y9" s="7"/>
      <c r="Z9" s="21"/>
      <c r="AA9" s="86">
        <f>B9+C9+D9+X9+Y9+Z9</f>
        <v>1846828</v>
      </c>
      <c r="AB9" s="30">
        <v>12000</v>
      </c>
      <c r="AC9" s="103">
        <f>AA9+AB9</f>
        <v>1858828</v>
      </c>
    </row>
    <row r="10" spans="1:29" ht="12.75" customHeight="1">
      <c r="A10" s="15" t="s">
        <v>53</v>
      </c>
      <c r="B10" s="72">
        <f>1753611+34193+3304</f>
        <v>1791108</v>
      </c>
      <c r="C10" s="39">
        <v>30942</v>
      </c>
      <c r="D10" s="80">
        <f>E10+F10+G10+H10+I10+J10+K10+L10+N10+O10+P10+W10+U10</f>
        <v>189886</v>
      </c>
      <c r="E10" s="30"/>
      <c r="F10" s="17"/>
      <c r="G10" s="7">
        <v>16160</v>
      </c>
      <c r="H10" s="7">
        <v>50797</v>
      </c>
      <c r="I10" s="5"/>
      <c r="J10" s="7"/>
      <c r="K10" s="7">
        <v>2100</v>
      </c>
      <c r="L10" s="2"/>
      <c r="M10" s="2"/>
      <c r="N10" s="2"/>
      <c r="O10" s="22">
        <v>6833</v>
      </c>
      <c r="P10" s="113">
        <f>Q10+R10+S10+T10</f>
        <v>51041</v>
      </c>
      <c r="Q10" s="37">
        <v>28129</v>
      </c>
      <c r="R10" s="7">
        <v>18476</v>
      </c>
      <c r="S10" s="7">
        <v>2286</v>
      </c>
      <c r="T10" s="56">
        <v>2150</v>
      </c>
      <c r="U10" s="37">
        <v>9500</v>
      </c>
      <c r="V10" s="7"/>
      <c r="W10" s="55">
        <f>45631+7824</f>
        <v>53455</v>
      </c>
      <c r="X10" s="35"/>
      <c r="Y10" s="7"/>
      <c r="Z10" s="21"/>
      <c r="AA10" s="86">
        <f>B10+C10+D10+X10+Y10+Z10</f>
        <v>2011936</v>
      </c>
      <c r="AB10" s="31"/>
      <c r="AC10" s="103">
        <f>AA10+AB10</f>
        <v>2011936</v>
      </c>
    </row>
    <row r="11" spans="1:30" ht="12.75" customHeight="1">
      <c r="A11" s="15" t="s">
        <v>25</v>
      </c>
      <c r="B11" s="72">
        <f>B10*97/100+15859</f>
        <v>1753233.76</v>
      </c>
      <c r="C11" s="12">
        <f>C10*97/100+230</f>
        <v>30243.74</v>
      </c>
      <c r="D11" s="80">
        <f>E11+F11+G11+H11+I11+J11+K11+L11+N11+O11+P11+W11+U11</f>
        <v>187416.4</v>
      </c>
      <c r="E11" s="30"/>
      <c r="F11" s="17"/>
      <c r="G11" s="7">
        <v>15000</v>
      </c>
      <c r="H11" s="2">
        <v>48662</v>
      </c>
      <c r="I11" s="2"/>
      <c r="J11" s="12"/>
      <c r="K11" s="7">
        <v>1713</v>
      </c>
      <c r="L11" s="2"/>
      <c r="M11" s="2"/>
      <c r="N11" s="2"/>
      <c r="O11" s="22">
        <v>6833</v>
      </c>
      <c r="P11" s="113">
        <f>Q11+R11+S11+T11</f>
        <v>52253.399999999994</v>
      </c>
      <c r="Q11" s="37">
        <v>27000</v>
      </c>
      <c r="R11" s="7">
        <f>R10*1.15</f>
        <v>21247.399999999998</v>
      </c>
      <c r="S11" s="7">
        <f>S10</f>
        <v>2286</v>
      </c>
      <c r="T11" s="56">
        <v>1720</v>
      </c>
      <c r="U11" s="42">
        <v>9500</v>
      </c>
      <c r="V11" s="7"/>
      <c r="W11" s="55">
        <f>45631+7824</f>
        <v>53455</v>
      </c>
      <c r="X11" s="35"/>
      <c r="Y11" s="2"/>
      <c r="Z11" s="21"/>
      <c r="AA11" s="86">
        <f>B11+C11+D11+X11+Y11+Z11</f>
        <v>1970893.9</v>
      </c>
      <c r="AB11" s="31"/>
      <c r="AC11" s="104">
        <f>AA11+AB11</f>
        <v>1970893.9</v>
      </c>
      <c r="AD11" s="74"/>
    </row>
    <row r="12" spans="1:29" ht="12.75" customHeight="1">
      <c r="A12" s="17"/>
      <c r="B12" s="121"/>
      <c r="C12" s="39"/>
      <c r="D12" s="80">
        <f>E12+F12+G12+H12+I12+J12+K12+L12+N12+O12+P12+W12</f>
        <v>0</v>
      </c>
      <c r="E12" s="30"/>
      <c r="F12" s="17"/>
      <c r="G12" s="2"/>
      <c r="H12" s="2"/>
      <c r="I12" s="2"/>
      <c r="J12" s="2"/>
      <c r="K12" s="2"/>
      <c r="L12" s="2"/>
      <c r="M12" s="2"/>
      <c r="N12" s="2"/>
      <c r="O12" s="21"/>
      <c r="P12" s="114"/>
      <c r="Q12" s="35"/>
      <c r="R12" s="2"/>
      <c r="S12" s="2"/>
      <c r="T12" s="57"/>
      <c r="U12" s="35"/>
      <c r="V12" s="2"/>
      <c r="W12" s="57"/>
      <c r="X12" s="35"/>
      <c r="Y12" s="2"/>
      <c r="Z12" s="21"/>
      <c r="AA12" s="87"/>
      <c r="AB12" s="30"/>
      <c r="AC12" s="105"/>
    </row>
    <row r="13" spans="1:29" ht="12.75" customHeight="1">
      <c r="A13" s="18" t="s">
        <v>26</v>
      </c>
      <c r="B13" s="121"/>
      <c r="C13" s="39"/>
      <c r="D13" s="80">
        <f>E13+F13+G13+H13+I13+J13+K13+L13+N13+O13+P13+W13</f>
        <v>0</v>
      </c>
      <c r="E13" s="30"/>
      <c r="F13" s="17"/>
      <c r="G13" s="2"/>
      <c r="H13" s="2"/>
      <c r="I13" s="2"/>
      <c r="J13" s="2"/>
      <c r="K13" s="2"/>
      <c r="L13" s="2"/>
      <c r="M13" s="2"/>
      <c r="N13" s="2"/>
      <c r="O13" s="21"/>
      <c r="P13" s="114"/>
      <c r="Q13" s="35"/>
      <c r="R13" s="2"/>
      <c r="S13" s="2"/>
      <c r="T13" s="57"/>
      <c r="U13" s="35"/>
      <c r="V13" s="2"/>
      <c r="W13" s="57"/>
      <c r="X13" s="35"/>
      <c r="Y13" s="2"/>
      <c r="Z13" s="21"/>
      <c r="AA13" s="87"/>
      <c r="AB13" s="30"/>
      <c r="AC13" s="105"/>
    </row>
    <row r="14" spans="1:29" ht="12.75" customHeight="1">
      <c r="A14" s="15" t="s">
        <v>52</v>
      </c>
      <c r="B14" s="121">
        <v>59694</v>
      </c>
      <c r="C14" s="39">
        <v>18194</v>
      </c>
      <c r="D14" s="80">
        <f>E14+F14+G14+H14+I14+J14+K14+L14+N14+O14+P14+W14+V14</f>
        <v>15211</v>
      </c>
      <c r="E14" s="30"/>
      <c r="F14" s="17"/>
      <c r="G14" s="2">
        <v>60</v>
      </c>
      <c r="H14" s="2">
        <v>7051</v>
      </c>
      <c r="I14" s="2"/>
      <c r="J14" s="2"/>
      <c r="K14" s="2"/>
      <c r="L14" s="2"/>
      <c r="M14" s="2"/>
      <c r="N14" s="2"/>
      <c r="O14" s="21">
        <v>400</v>
      </c>
      <c r="P14" s="113">
        <f>Q14+R14+S14+T14</f>
        <v>1700</v>
      </c>
      <c r="Q14" s="35">
        <v>825</v>
      </c>
      <c r="R14" s="2">
        <v>777</v>
      </c>
      <c r="S14" s="2">
        <v>98</v>
      </c>
      <c r="T14" s="57"/>
      <c r="U14" s="35"/>
      <c r="V14" s="2">
        <v>6000</v>
      </c>
      <c r="W14" s="57"/>
      <c r="X14" s="35"/>
      <c r="Y14" s="2"/>
      <c r="Z14" s="21"/>
      <c r="AA14" s="86">
        <f>B14+C14+D14+X14+Y14+Z14</f>
        <v>93099</v>
      </c>
      <c r="AB14" s="30"/>
      <c r="AC14" s="103">
        <f>AA14+AB14</f>
        <v>93099</v>
      </c>
    </row>
    <row r="15" spans="1:29" ht="12.75" customHeight="1">
      <c r="A15" s="15" t="s">
        <v>53</v>
      </c>
      <c r="B15" s="121">
        <v>74113</v>
      </c>
      <c r="C15" s="39">
        <v>1075</v>
      </c>
      <c r="D15" s="80">
        <f>E15+F15+G15+H15+I15+J15+K15+L15+N15+O15+P15+W15+V15</f>
        <v>13009</v>
      </c>
      <c r="E15" s="30"/>
      <c r="F15" s="17"/>
      <c r="G15" s="2">
        <v>58</v>
      </c>
      <c r="H15" s="2">
        <v>4722</v>
      </c>
      <c r="I15" s="2"/>
      <c r="J15" s="2"/>
      <c r="K15" s="2"/>
      <c r="L15" s="2"/>
      <c r="M15" s="2"/>
      <c r="N15" s="2"/>
      <c r="O15" s="21">
        <v>600</v>
      </c>
      <c r="P15" s="113">
        <f>Q15+R15+S15+T15</f>
        <v>1629</v>
      </c>
      <c r="Q15" s="35">
        <v>815</v>
      </c>
      <c r="R15" s="2">
        <v>719</v>
      </c>
      <c r="S15" s="2">
        <v>95</v>
      </c>
      <c r="T15" s="57"/>
      <c r="U15" s="35"/>
      <c r="V15" s="2">
        <v>6000</v>
      </c>
      <c r="W15" s="57"/>
      <c r="X15" s="35"/>
      <c r="Y15" s="2"/>
      <c r="Z15" s="21"/>
      <c r="AA15" s="86">
        <f>B15+C15+D15+X15+Y15+Z15</f>
        <v>88197</v>
      </c>
      <c r="AB15" s="30"/>
      <c r="AC15" s="103">
        <f>AA15+AB15</f>
        <v>88197</v>
      </c>
    </row>
    <row r="16" spans="1:30" ht="12.75" customHeight="1">
      <c r="A16" s="15" t="s">
        <v>25</v>
      </c>
      <c r="B16" s="72">
        <f>B15*97/100</f>
        <v>71889.61</v>
      </c>
      <c r="C16" s="12">
        <f>C15*97/100</f>
        <v>1042.75</v>
      </c>
      <c r="D16" s="80">
        <f>E16+F16+G16+H16+I16+J16+K16+L16+N16+O16+P16+W16+U16+V16</f>
        <v>13716.85</v>
      </c>
      <c r="E16" s="30"/>
      <c r="F16" s="17"/>
      <c r="G16" s="11">
        <v>58</v>
      </c>
      <c r="H16" s="11">
        <v>4722</v>
      </c>
      <c r="I16" s="11"/>
      <c r="J16" s="11"/>
      <c r="K16" s="11"/>
      <c r="L16" s="11"/>
      <c r="M16" s="11"/>
      <c r="N16" s="11"/>
      <c r="O16" s="39">
        <v>400</v>
      </c>
      <c r="P16" s="113">
        <f>Q16+R16+S16+T16</f>
        <v>2536.85</v>
      </c>
      <c r="Q16" s="41">
        <v>1640</v>
      </c>
      <c r="R16" s="12">
        <f>R15*1.15</f>
        <v>826.8499999999999</v>
      </c>
      <c r="S16" s="11">
        <v>70</v>
      </c>
      <c r="T16" s="57"/>
      <c r="U16" s="35"/>
      <c r="V16" s="2">
        <v>6000</v>
      </c>
      <c r="W16" s="57"/>
      <c r="X16" s="35"/>
      <c r="Y16" s="2"/>
      <c r="Z16" s="21"/>
      <c r="AA16" s="86">
        <f>B16+C16+D16+X16+Y16+Z16+1</f>
        <v>86650.21</v>
      </c>
      <c r="AB16" s="30"/>
      <c r="AC16" s="104">
        <f>AA16+AB16</f>
        <v>86650.21</v>
      </c>
      <c r="AD16" s="74"/>
    </row>
    <row r="17" spans="1:29" ht="12.75">
      <c r="A17" s="15"/>
      <c r="B17" s="121"/>
      <c r="C17" s="39"/>
      <c r="D17" s="80">
        <f aca="true" t="shared" si="0" ref="D17:D39">E17+F17+G17+H17+I17+J17+K17+L17+N17+O17+P17+W17</f>
        <v>0</v>
      </c>
      <c r="E17" s="30"/>
      <c r="F17" s="17"/>
      <c r="G17" s="2"/>
      <c r="H17" s="2"/>
      <c r="I17" s="2"/>
      <c r="J17" s="2"/>
      <c r="K17" s="2"/>
      <c r="L17" s="2"/>
      <c r="M17" s="2"/>
      <c r="N17" s="2"/>
      <c r="O17" s="21"/>
      <c r="P17" s="114"/>
      <c r="Q17" s="35"/>
      <c r="R17" s="2"/>
      <c r="S17" s="2"/>
      <c r="T17" s="57"/>
      <c r="U17" s="35"/>
      <c r="V17" s="2"/>
      <c r="W17" s="57"/>
      <c r="X17" s="35"/>
      <c r="Y17" s="2"/>
      <c r="Z17" s="21"/>
      <c r="AA17" s="87"/>
      <c r="AB17" s="30"/>
      <c r="AC17" s="105"/>
    </row>
    <row r="18" spans="1:29" ht="12.75">
      <c r="A18" s="18" t="s">
        <v>29</v>
      </c>
      <c r="B18" s="121"/>
      <c r="C18" s="39"/>
      <c r="D18" s="80">
        <f t="shared" si="0"/>
        <v>0</v>
      </c>
      <c r="E18" s="30"/>
      <c r="F18" s="17"/>
      <c r="G18" s="2"/>
      <c r="H18" s="2"/>
      <c r="I18" s="2"/>
      <c r="J18" s="2"/>
      <c r="K18" s="2"/>
      <c r="L18" s="2"/>
      <c r="M18" s="2"/>
      <c r="N18" s="2"/>
      <c r="O18" s="21"/>
      <c r="P18" s="114"/>
      <c r="Q18" s="35"/>
      <c r="R18" s="2"/>
      <c r="S18" s="2"/>
      <c r="T18" s="57"/>
      <c r="U18" s="35"/>
      <c r="V18" s="2"/>
      <c r="W18" s="57"/>
      <c r="X18" s="35"/>
      <c r="Y18" s="2"/>
      <c r="Z18" s="21"/>
      <c r="AA18" s="88"/>
      <c r="AB18" s="30"/>
      <c r="AC18" s="105"/>
    </row>
    <row r="19" spans="1:29" ht="12.75">
      <c r="A19" s="15" t="s">
        <v>52</v>
      </c>
      <c r="B19" s="121">
        <v>4410</v>
      </c>
      <c r="C19" s="39">
        <v>1344</v>
      </c>
      <c r="D19" s="80">
        <f t="shared" si="0"/>
        <v>52441</v>
      </c>
      <c r="E19" s="30"/>
      <c r="F19" s="17"/>
      <c r="G19" s="5"/>
      <c r="H19" s="2"/>
      <c r="I19" s="2"/>
      <c r="J19" s="2"/>
      <c r="K19" s="5"/>
      <c r="L19" s="2"/>
      <c r="M19" s="2"/>
      <c r="N19" s="2"/>
      <c r="O19" s="21"/>
      <c r="P19" s="114"/>
      <c r="Q19" s="35"/>
      <c r="R19" s="2"/>
      <c r="S19" s="2"/>
      <c r="T19" s="57"/>
      <c r="U19" s="35"/>
      <c r="V19" s="2"/>
      <c r="W19" s="56">
        <v>52441</v>
      </c>
      <c r="X19" s="35"/>
      <c r="Y19" s="2"/>
      <c r="Z19" s="21"/>
      <c r="AA19" s="89">
        <f>B19+C19+D19+X19+Y19+Z19</f>
        <v>58195</v>
      </c>
      <c r="AB19" s="30"/>
      <c r="AC19" s="105">
        <f>AA19+AB19</f>
        <v>58195</v>
      </c>
    </row>
    <row r="20" spans="1:29" ht="12.75">
      <c r="A20" s="15" t="s">
        <v>53</v>
      </c>
      <c r="B20" s="121">
        <v>5801</v>
      </c>
      <c r="C20" s="39">
        <v>84</v>
      </c>
      <c r="D20" s="80">
        <f t="shared" si="0"/>
        <v>52440</v>
      </c>
      <c r="E20" s="30"/>
      <c r="F20" s="17"/>
      <c r="G20" s="5"/>
      <c r="H20" s="2"/>
      <c r="I20" s="2"/>
      <c r="J20" s="2"/>
      <c r="K20" s="5"/>
      <c r="L20" s="2"/>
      <c r="M20" s="2"/>
      <c r="N20" s="2"/>
      <c r="O20" s="21"/>
      <c r="P20" s="114"/>
      <c r="Q20" s="35"/>
      <c r="R20" s="2"/>
      <c r="S20" s="2"/>
      <c r="T20" s="57"/>
      <c r="U20" s="35"/>
      <c r="V20" s="2"/>
      <c r="W20" s="56">
        <v>52440</v>
      </c>
      <c r="X20" s="35"/>
      <c r="Y20" s="2"/>
      <c r="Z20" s="21"/>
      <c r="AA20" s="90">
        <f>B20+C20+D20+X20+Y20+Z20</f>
        <v>58325</v>
      </c>
      <c r="AB20" s="31"/>
      <c r="AC20" s="106">
        <f>AA20+AB20</f>
        <v>58325</v>
      </c>
    </row>
    <row r="21" spans="1:29" ht="12.75">
      <c r="A21" s="15" t="s">
        <v>25</v>
      </c>
      <c r="B21" s="72">
        <f>B20*97/100</f>
        <v>5626.97</v>
      </c>
      <c r="C21" s="12">
        <f>C20*97/100</f>
        <v>81.48</v>
      </c>
      <c r="D21" s="80">
        <f t="shared" si="0"/>
        <v>52440</v>
      </c>
      <c r="E21" s="30"/>
      <c r="F21" s="17"/>
      <c r="G21" s="2"/>
      <c r="H21" s="2"/>
      <c r="I21" s="2"/>
      <c r="J21" s="2"/>
      <c r="K21" s="2"/>
      <c r="L21" s="2"/>
      <c r="M21" s="2"/>
      <c r="N21" s="2"/>
      <c r="O21" s="21"/>
      <c r="P21" s="114"/>
      <c r="Q21" s="35"/>
      <c r="R21" s="2"/>
      <c r="S21" s="2"/>
      <c r="T21" s="57"/>
      <c r="U21" s="35"/>
      <c r="V21" s="2"/>
      <c r="W21" s="56">
        <v>52440</v>
      </c>
      <c r="X21" s="35"/>
      <c r="Y21" s="2"/>
      <c r="Z21" s="21"/>
      <c r="AA21" s="90">
        <f>B21+C21+D21+X21+Y21+Z21</f>
        <v>58148.45</v>
      </c>
      <c r="AB21" s="30"/>
      <c r="AC21" s="106">
        <f>AA21+AB21</f>
        <v>58148.45</v>
      </c>
    </row>
    <row r="22" spans="1:29" ht="12.75">
      <c r="A22" s="17"/>
      <c r="B22" s="121"/>
      <c r="C22" s="39"/>
      <c r="D22" s="80">
        <f t="shared" si="0"/>
        <v>0</v>
      </c>
      <c r="E22" s="30"/>
      <c r="F22" s="17"/>
      <c r="G22" s="2"/>
      <c r="H22" s="2"/>
      <c r="I22" s="2"/>
      <c r="J22" s="2"/>
      <c r="K22" s="2"/>
      <c r="L22" s="2"/>
      <c r="M22" s="2"/>
      <c r="N22" s="2"/>
      <c r="O22" s="21"/>
      <c r="P22" s="114"/>
      <c r="Q22" s="35"/>
      <c r="R22" s="2"/>
      <c r="S22" s="2"/>
      <c r="T22" s="57"/>
      <c r="U22" s="35"/>
      <c r="V22" s="2"/>
      <c r="W22" s="57"/>
      <c r="X22" s="35"/>
      <c r="Y22" s="2"/>
      <c r="Z22" s="21"/>
      <c r="AA22" s="88"/>
      <c r="AB22" s="30"/>
      <c r="AC22" s="105"/>
    </row>
    <row r="23" spans="1:29" ht="12.75">
      <c r="A23" s="18" t="s">
        <v>28</v>
      </c>
      <c r="B23" s="121"/>
      <c r="C23" s="39"/>
      <c r="D23" s="80">
        <f t="shared" si="0"/>
        <v>0</v>
      </c>
      <c r="E23" s="30"/>
      <c r="F23" s="17"/>
      <c r="G23" s="2"/>
      <c r="H23" s="2"/>
      <c r="I23" s="2"/>
      <c r="J23" s="2"/>
      <c r="K23" s="2"/>
      <c r="L23" s="2"/>
      <c r="M23" s="2"/>
      <c r="N23" s="2"/>
      <c r="O23" s="21"/>
      <c r="P23" s="114"/>
      <c r="Q23" s="35"/>
      <c r="R23" s="2"/>
      <c r="S23" s="2"/>
      <c r="T23" s="57"/>
      <c r="U23" s="35"/>
      <c r="V23" s="2"/>
      <c r="W23" s="57"/>
      <c r="X23" s="35"/>
      <c r="Y23" s="2"/>
      <c r="Z23" s="21"/>
      <c r="AA23" s="88"/>
      <c r="AB23" s="30"/>
      <c r="AC23" s="105"/>
    </row>
    <row r="24" spans="1:29" ht="12.75">
      <c r="A24" s="15" t="s">
        <v>52</v>
      </c>
      <c r="B24" s="72">
        <v>28727</v>
      </c>
      <c r="C24" s="26">
        <v>8756</v>
      </c>
      <c r="D24" s="80">
        <f t="shared" si="0"/>
        <v>1321</v>
      </c>
      <c r="E24" s="30"/>
      <c r="F24" s="17"/>
      <c r="G24" s="7">
        <v>58</v>
      </c>
      <c r="H24" s="7">
        <v>120</v>
      </c>
      <c r="I24" s="2"/>
      <c r="J24" s="2"/>
      <c r="K24" s="2"/>
      <c r="L24" s="2"/>
      <c r="M24" s="2"/>
      <c r="N24" s="2"/>
      <c r="O24" s="21">
        <v>300</v>
      </c>
      <c r="P24" s="113">
        <f>Q24+R24+S24+T24</f>
        <v>493</v>
      </c>
      <c r="Q24" s="35">
        <v>259</v>
      </c>
      <c r="R24" s="2">
        <v>234</v>
      </c>
      <c r="S24" s="2"/>
      <c r="T24" s="57"/>
      <c r="U24" s="35"/>
      <c r="V24" s="2"/>
      <c r="W24" s="56">
        <v>350</v>
      </c>
      <c r="X24" s="35"/>
      <c r="Y24" s="2"/>
      <c r="Z24" s="21"/>
      <c r="AA24" s="86">
        <f>B24+C24+D24+X24+Y24+Z24</f>
        <v>38804</v>
      </c>
      <c r="AB24" s="31"/>
      <c r="AC24" s="106">
        <f>AA24+AB24</f>
        <v>38804</v>
      </c>
    </row>
    <row r="25" spans="1:29" ht="12.75">
      <c r="A25" s="15" t="s">
        <v>53</v>
      </c>
      <c r="B25" s="121">
        <v>57080</v>
      </c>
      <c r="C25" s="39">
        <v>874</v>
      </c>
      <c r="D25" s="80">
        <f t="shared" si="0"/>
        <v>1808</v>
      </c>
      <c r="E25" s="30"/>
      <c r="F25" s="17"/>
      <c r="G25" s="7">
        <v>58</v>
      </c>
      <c r="H25" s="7">
        <v>357</v>
      </c>
      <c r="I25" s="2"/>
      <c r="J25" s="2"/>
      <c r="K25" s="5"/>
      <c r="L25" s="2"/>
      <c r="M25" s="2"/>
      <c r="N25" s="2"/>
      <c r="O25" s="22">
        <v>400</v>
      </c>
      <c r="P25" s="113">
        <f>Q25+R25+S25+T25</f>
        <v>493</v>
      </c>
      <c r="Q25" s="37">
        <v>259</v>
      </c>
      <c r="R25" s="7">
        <v>234</v>
      </c>
      <c r="S25" s="2"/>
      <c r="T25" s="57"/>
      <c r="U25" s="35"/>
      <c r="V25" s="2"/>
      <c r="W25" s="56">
        <v>500</v>
      </c>
      <c r="X25" s="35"/>
      <c r="Y25" s="2"/>
      <c r="Z25" s="21"/>
      <c r="AA25" s="88">
        <f>B25+C25+D25+X25+Y25+Z25</f>
        <v>59762</v>
      </c>
      <c r="AB25" s="30"/>
      <c r="AC25" s="105">
        <f>AA25+AB25</f>
        <v>59762</v>
      </c>
    </row>
    <row r="26" spans="1:30" ht="12.75">
      <c r="A26" s="15" t="s">
        <v>25</v>
      </c>
      <c r="B26" s="72">
        <f>B25*97/100</f>
        <v>55367.6</v>
      </c>
      <c r="C26" s="12">
        <f>C25*97/100</f>
        <v>847.78</v>
      </c>
      <c r="D26" s="80">
        <f t="shared" si="0"/>
        <v>1321</v>
      </c>
      <c r="E26" s="30"/>
      <c r="F26" s="17"/>
      <c r="G26" s="7">
        <v>58</v>
      </c>
      <c r="H26" s="2">
        <v>140</v>
      </c>
      <c r="I26" s="2"/>
      <c r="J26" s="2"/>
      <c r="K26" s="2"/>
      <c r="L26" s="2"/>
      <c r="M26" s="2"/>
      <c r="N26" s="2"/>
      <c r="O26" s="21">
        <v>300</v>
      </c>
      <c r="P26" s="113">
        <f>Q26+R26+S26+T26</f>
        <v>473</v>
      </c>
      <c r="Q26" s="35">
        <v>249</v>
      </c>
      <c r="R26" s="2">
        <v>224</v>
      </c>
      <c r="S26" s="2"/>
      <c r="T26" s="57"/>
      <c r="U26" s="35"/>
      <c r="V26" s="2"/>
      <c r="W26" s="56">
        <v>350</v>
      </c>
      <c r="X26" s="35"/>
      <c r="Y26" s="2"/>
      <c r="Z26" s="21"/>
      <c r="AA26" s="86">
        <f>B26+C26+D26+X26+Y26+Z26+1</f>
        <v>57537.38</v>
      </c>
      <c r="AB26" s="32"/>
      <c r="AC26" s="106">
        <f>AA26+AB26</f>
        <v>57537.38</v>
      </c>
      <c r="AD26" s="74"/>
    </row>
    <row r="27" spans="1:29" ht="12.75">
      <c r="A27" s="17"/>
      <c r="B27" s="121"/>
      <c r="C27" s="39"/>
      <c r="D27" s="80">
        <f t="shared" si="0"/>
        <v>0</v>
      </c>
      <c r="E27" s="30"/>
      <c r="F27" s="17"/>
      <c r="G27" s="2"/>
      <c r="H27" s="2"/>
      <c r="I27" s="2"/>
      <c r="J27" s="2"/>
      <c r="K27" s="2"/>
      <c r="L27" s="2"/>
      <c r="M27" s="2"/>
      <c r="N27" s="2"/>
      <c r="O27" s="21"/>
      <c r="P27" s="114"/>
      <c r="Q27" s="35"/>
      <c r="R27" s="2"/>
      <c r="S27" s="2"/>
      <c r="T27" s="57"/>
      <c r="U27" s="35"/>
      <c r="V27" s="2"/>
      <c r="W27" s="57"/>
      <c r="X27" s="35"/>
      <c r="Y27" s="2"/>
      <c r="Z27" s="21"/>
      <c r="AA27" s="88"/>
      <c r="AB27" s="30"/>
      <c r="AC27" s="105"/>
    </row>
    <row r="28" spans="1:29" ht="12.75">
      <c r="A28" s="18" t="s">
        <v>42</v>
      </c>
      <c r="B28" s="121"/>
      <c r="C28" s="39"/>
      <c r="D28" s="80">
        <f t="shared" si="0"/>
        <v>0</v>
      </c>
      <c r="E28" s="30"/>
      <c r="F28" s="17"/>
      <c r="G28" s="2"/>
      <c r="H28" s="2"/>
      <c r="I28" s="2"/>
      <c r="J28" s="2"/>
      <c r="K28" s="2"/>
      <c r="L28" s="2"/>
      <c r="M28" s="2"/>
      <c r="N28" s="2"/>
      <c r="O28" s="21"/>
      <c r="P28" s="114"/>
      <c r="Q28" s="35"/>
      <c r="R28" s="2"/>
      <c r="S28" s="2"/>
      <c r="T28" s="57"/>
      <c r="U28" s="35"/>
      <c r="V28" s="2"/>
      <c r="W28" s="57"/>
      <c r="X28" s="35"/>
      <c r="Y28" s="2"/>
      <c r="Z28" s="21"/>
      <c r="AA28" s="88"/>
      <c r="AB28" s="30"/>
      <c r="AC28" s="105"/>
    </row>
    <row r="29" spans="1:29" ht="12.75">
      <c r="A29" s="15" t="s">
        <v>52</v>
      </c>
      <c r="B29" s="121">
        <v>28043</v>
      </c>
      <c r="C29" s="26">
        <v>8547</v>
      </c>
      <c r="D29" s="80">
        <f t="shared" si="0"/>
        <v>0</v>
      </c>
      <c r="E29" s="30"/>
      <c r="F29" s="58"/>
      <c r="G29" s="5"/>
      <c r="H29" s="5"/>
      <c r="I29" s="5"/>
      <c r="J29" s="2"/>
      <c r="K29" s="5"/>
      <c r="L29" s="5"/>
      <c r="M29" s="5"/>
      <c r="N29" s="5"/>
      <c r="O29" s="21"/>
      <c r="P29" s="115"/>
      <c r="Q29" s="36"/>
      <c r="R29" s="2"/>
      <c r="S29" s="2"/>
      <c r="T29" s="57"/>
      <c r="U29" s="35"/>
      <c r="V29" s="2"/>
      <c r="W29" s="59"/>
      <c r="X29" s="35"/>
      <c r="Y29" s="5"/>
      <c r="Z29" s="21"/>
      <c r="AA29" s="86">
        <f>B29+C29+D29+X29+Y29+Z29</f>
        <v>36590</v>
      </c>
      <c r="AB29" s="31">
        <v>14000</v>
      </c>
      <c r="AC29" s="106">
        <f>AA29+AB29</f>
        <v>50590</v>
      </c>
    </row>
    <row r="30" spans="1:29" ht="12.75">
      <c r="A30" s="15" t="s">
        <v>53</v>
      </c>
      <c r="B30" s="72">
        <v>42952</v>
      </c>
      <c r="C30" s="26">
        <v>623</v>
      </c>
      <c r="D30" s="80">
        <f t="shared" si="0"/>
        <v>0</v>
      </c>
      <c r="E30" s="30"/>
      <c r="F30" s="17"/>
      <c r="G30" s="5"/>
      <c r="H30" s="5"/>
      <c r="I30" s="5"/>
      <c r="J30" s="5"/>
      <c r="K30" s="5"/>
      <c r="L30" s="5"/>
      <c r="M30" s="5"/>
      <c r="N30" s="5"/>
      <c r="O30" s="21"/>
      <c r="P30" s="115"/>
      <c r="Q30" s="36"/>
      <c r="R30" s="2"/>
      <c r="S30" s="2"/>
      <c r="T30" s="57"/>
      <c r="U30" s="35"/>
      <c r="V30" s="2"/>
      <c r="W30" s="59"/>
      <c r="X30" s="35"/>
      <c r="Y30" s="5"/>
      <c r="Z30" s="21"/>
      <c r="AA30" s="86">
        <f>B30+C30+D30+X30+Y30+Z30</f>
        <v>43575</v>
      </c>
      <c r="AB30" s="31">
        <v>150000</v>
      </c>
      <c r="AC30" s="106">
        <f>AA30+AB30</f>
        <v>193575</v>
      </c>
    </row>
    <row r="31" spans="1:29" ht="12.75">
      <c r="A31" s="15" t="s">
        <v>25</v>
      </c>
      <c r="B31" s="72">
        <f>B30*97/100+1396</f>
        <v>43059.44</v>
      </c>
      <c r="C31" s="12">
        <f>C30*97/100+20</f>
        <v>624.31</v>
      </c>
      <c r="D31" s="80">
        <f t="shared" si="0"/>
        <v>0</v>
      </c>
      <c r="E31" s="30"/>
      <c r="F31" s="17"/>
      <c r="G31" s="2"/>
      <c r="H31" s="2"/>
      <c r="I31" s="2"/>
      <c r="J31" s="2"/>
      <c r="K31" s="2"/>
      <c r="L31" s="2"/>
      <c r="M31" s="2"/>
      <c r="N31" s="2"/>
      <c r="O31" s="21"/>
      <c r="P31" s="114"/>
      <c r="Q31" s="35"/>
      <c r="R31" s="2"/>
      <c r="S31" s="2"/>
      <c r="T31" s="57"/>
      <c r="U31" s="35"/>
      <c r="V31" s="2"/>
      <c r="W31" s="57"/>
      <c r="X31" s="35"/>
      <c r="Y31" s="5"/>
      <c r="Z31" s="21"/>
      <c r="AA31" s="86">
        <f>B31+C31+D31+X31+Y31+Z31-1</f>
        <v>43682.75</v>
      </c>
      <c r="AB31" s="75">
        <v>106000</v>
      </c>
      <c r="AC31" s="106">
        <f>AA31+AB31</f>
        <v>149682.75</v>
      </c>
    </row>
    <row r="32" spans="1:29" ht="12.75">
      <c r="A32" s="17"/>
      <c r="B32" s="121"/>
      <c r="C32" s="39"/>
      <c r="D32" s="80">
        <f t="shared" si="0"/>
        <v>0</v>
      </c>
      <c r="E32" s="30"/>
      <c r="F32" s="17"/>
      <c r="G32" s="2"/>
      <c r="H32" s="2"/>
      <c r="I32" s="2"/>
      <c r="J32" s="2"/>
      <c r="K32" s="2"/>
      <c r="L32" s="2"/>
      <c r="M32" s="2"/>
      <c r="N32" s="2"/>
      <c r="O32" s="21"/>
      <c r="P32" s="114"/>
      <c r="Q32" s="35"/>
      <c r="R32" s="2"/>
      <c r="S32" s="2"/>
      <c r="T32" s="57"/>
      <c r="U32" s="35"/>
      <c r="V32" s="2"/>
      <c r="W32" s="57"/>
      <c r="X32" s="35"/>
      <c r="Y32" s="2"/>
      <c r="Z32" s="21"/>
      <c r="AA32" s="88"/>
      <c r="AB32" s="30"/>
      <c r="AC32" s="105"/>
    </row>
    <row r="33" spans="1:29" ht="12.75">
      <c r="A33" s="18" t="s">
        <v>11</v>
      </c>
      <c r="B33" s="121"/>
      <c r="C33" s="39"/>
      <c r="D33" s="80">
        <f t="shared" si="0"/>
        <v>0</v>
      </c>
      <c r="E33" s="30"/>
      <c r="F33" s="17"/>
      <c r="G33" s="2"/>
      <c r="H33" s="2"/>
      <c r="I33" s="2"/>
      <c r="J33" s="2"/>
      <c r="K33" s="2"/>
      <c r="L33" s="2"/>
      <c r="M33" s="2"/>
      <c r="N33" s="2"/>
      <c r="O33" s="21"/>
      <c r="P33" s="114"/>
      <c r="Q33" s="35"/>
      <c r="R33" s="2"/>
      <c r="S33" s="2"/>
      <c r="T33" s="57"/>
      <c r="U33" s="35"/>
      <c r="V33" s="2"/>
      <c r="W33" s="57"/>
      <c r="X33" s="35"/>
      <c r="Y33" s="2"/>
      <c r="Z33" s="21"/>
      <c r="AA33" s="88"/>
      <c r="AB33" s="30"/>
      <c r="AC33" s="105"/>
    </row>
    <row r="34" spans="1:29" ht="12.75">
      <c r="A34" s="15" t="s">
        <v>52</v>
      </c>
      <c r="B34" s="120">
        <v>211590</v>
      </c>
      <c r="C34" s="39">
        <v>63993</v>
      </c>
      <c r="D34" s="80">
        <f t="shared" si="0"/>
        <v>73093</v>
      </c>
      <c r="E34" s="30"/>
      <c r="F34" s="17"/>
      <c r="G34" s="7">
        <v>1480</v>
      </c>
      <c r="H34" s="7">
        <v>880</v>
      </c>
      <c r="I34" s="5"/>
      <c r="J34" s="5"/>
      <c r="K34" s="5"/>
      <c r="L34" s="5"/>
      <c r="M34" s="5"/>
      <c r="N34" s="2"/>
      <c r="O34" s="23"/>
      <c r="P34" s="113">
        <f aca="true" t="shared" si="1" ref="P34:P41">Q34+R34+S34+T34</f>
        <v>26993</v>
      </c>
      <c r="Q34" s="37">
        <v>20034</v>
      </c>
      <c r="R34" s="7">
        <v>5150</v>
      </c>
      <c r="S34" s="7">
        <v>824</v>
      </c>
      <c r="T34" s="56">
        <v>985</v>
      </c>
      <c r="U34" s="37"/>
      <c r="V34" s="7"/>
      <c r="W34" s="56">
        <f>43240+500</f>
        <v>43740</v>
      </c>
      <c r="X34" s="35"/>
      <c r="Y34" s="2"/>
      <c r="Z34" s="21"/>
      <c r="AA34" s="86">
        <f aca="true" t="shared" si="2" ref="AA34:AA40">B34+C34+D34+X34+Y34+Z34</f>
        <v>348676</v>
      </c>
      <c r="AB34" s="31"/>
      <c r="AC34" s="105">
        <f aca="true" t="shared" si="3" ref="AC34:AC41">AA34+AB34</f>
        <v>348676</v>
      </c>
    </row>
    <row r="35" spans="1:29" ht="12.75">
      <c r="A35" s="15" t="s">
        <v>53</v>
      </c>
      <c r="B35" s="122">
        <f>287864+1100</f>
        <v>288964</v>
      </c>
      <c r="C35" s="26">
        <v>4190</v>
      </c>
      <c r="D35" s="80">
        <f t="shared" si="0"/>
        <v>60670</v>
      </c>
      <c r="E35" s="32"/>
      <c r="F35" s="58"/>
      <c r="G35" s="7">
        <v>2148</v>
      </c>
      <c r="H35" s="7">
        <v>960</v>
      </c>
      <c r="I35" s="6"/>
      <c r="J35" s="6"/>
      <c r="K35" s="6"/>
      <c r="L35" s="6"/>
      <c r="M35" s="6"/>
      <c r="N35" s="6"/>
      <c r="O35" s="22">
        <v>1900</v>
      </c>
      <c r="P35" s="113">
        <f t="shared" si="1"/>
        <v>36717</v>
      </c>
      <c r="Q35" s="37">
        <v>24980</v>
      </c>
      <c r="R35" s="7">
        <v>9364</v>
      </c>
      <c r="S35" s="7">
        <v>1382</v>
      </c>
      <c r="T35" s="56">
        <v>991</v>
      </c>
      <c r="U35" s="37"/>
      <c r="V35" s="7"/>
      <c r="W35" s="56">
        <v>18945</v>
      </c>
      <c r="X35" s="50"/>
      <c r="Y35" s="7"/>
      <c r="Z35" s="24"/>
      <c r="AA35" s="86">
        <f t="shared" si="2"/>
        <v>353824</v>
      </c>
      <c r="AB35" s="31">
        <v>10000</v>
      </c>
      <c r="AC35" s="105">
        <f t="shared" si="3"/>
        <v>363824</v>
      </c>
    </row>
    <row r="36" spans="1:30" ht="12.75">
      <c r="A36" s="15" t="s">
        <v>25</v>
      </c>
      <c r="B36" s="72">
        <f>B35*97/100+2952+14487</f>
        <v>297734.08</v>
      </c>
      <c r="C36" s="12">
        <f>C35*97/100+43+210</f>
        <v>4317.3</v>
      </c>
      <c r="D36" s="80">
        <f t="shared" si="0"/>
        <v>46762</v>
      </c>
      <c r="E36" s="30"/>
      <c r="F36" s="17"/>
      <c r="G36" s="7">
        <v>1480</v>
      </c>
      <c r="H36" s="7">
        <v>880</v>
      </c>
      <c r="I36" s="6"/>
      <c r="J36" s="6"/>
      <c r="K36" s="6"/>
      <c r="L36" s="6"/>
      <c r="M36" s="6"/>
      <c r="N36" s="6"/>
      <c r="O36" s="24"/>
      <c r="P36" s="113">
        <f t="shared" si="1"/>
        <v>31154</v>
      </c>
      <c r="Q36" s="37">
        <v>21898</v>
      </c>
      <c r="R36" s="7">
        <v>7523</v>
      </c>
      <c r="S36" s="8">
        <v>976</v>
      </c>
      <c r="T36" s="66">
        <v>757</v>
      </c>
      <c r="U36" s="43"/>
      <c r="V36" s="8"/>
      <c r="W36" s="56">
        <v>13248</v>
      </c>
      <c r="X36" s="50"/>
      <c r="Y36" s="6"/>
      <c r="Z36" s="24"/>
      <c r="AA36" s="86">
        <f t="shared" si="2"/>
        <v>348813.38</v>
      </c>
      <c r="AB36" s="33"/>
      <c r="AC36" s="106">
        <f t="shared" si="3"/>
        <v>348813.38</v>
      </c>
      <c r="AD36" s="74"/>
    </row>
    <row r="37" spans="1:29" ht="12.75">
      <c r="A37" s="17"/>
      <c r="B37" s="121"/>
      <c r="C37" s="39"/>
      <c r="D37" s="80">
        <f t="shared" si="0"/>
        <v>0</v>
      </c>
      <c r="E37" s="30"/>
      <c r="F37" s="17"/>
      <c r="G37" s="2"/>
      <c r="H37" s="2"/>
      <c r="I37" s="2"/>
      <c r="J37" s="2"/>
      <c r="K37" s="2"/>
      <c r="L37" s="2"/>
      <c r="M37" s="2"/>
      <c r="N37" s="2"/>
      <c r="O37" s="21"/>
      <c r="P37" s="113">
        <f t="shared" si="1"/>
        <v>0</v>
      </c>
      <c r="Q37" s="35"/>
      <c r="R37" s="2"/>
      <c r="S37" s="2"/>
      <c r="T37" s="57"/>
      <c r="U37" s="35"/>
      <c r="V37" s="2"/>
      <c r="W37" s="57"/>
      <c r="X37" s="35"/>
      <c r="Y37" s="2"/>
      <c r="Z37" s="21"/>
      <c r="AA37" s="86">
        <f t="shared" si="2"/>
        <v>0</v>
      </c>
      <c r="AB37" s="30"/>
      <c r="AC37" s="105">
        <f t="shared" si="3"/>
        <v>0</v>
      </c>
    </row>
    <row r="38" spans="1:29" ht="12.75">
      <c r="A38" s="18" t="s">
        <v>12</v>
      </c>
      <c r="B38" s="120"/>
      <c r="C38" s="39"/>
      <c r="D38" s="80">
        <f t="shared" si="0"/>
        <v>0</v>
      </c>
      <c r="E38" s="30"/>
      <c r="F38" s="17"/>
      <c r="G38" s="2"/>
      <c r="H38" s="2"/>
      <c r="I38" s="2"/>
      <c r="J38" s="2"/>
      <c r="K38" s="2"/>
      <c r="L38" s="2"/>
      <c r="M38" s="2"/>
      <c r="N38" s="2"/>
      <c r="O38" s="21"/>
      <c r="P38" s="113"/>
      <c r="Q38" s="35"/>
      <c r="R38" s="2"/>
      <c r="S38" s="2"/>
      <c r="T38" s="57"/>
      <c r="U38" s="35"/>
      <c r="V38" s="2"/>
      <c r="W38" s="57"/>
      <c r="X38" s="35"/>
      <c r="Y38" s="2"/>
      <c r="Z38" s="21"/>
      <c r="AA38" s="86">
        <f t="shared" si="2"/>
        <v>0</v>
      </c>
      <c r="AB38" s="30"/>
      <c r="AC38" s="105">
        <f t="shared" si="3"/>
        <v>0</v>
      </c>
    </row>
    <row r="39" spans="1:29" ht="12.75">
      <c r="A39" s="15" t="s">
        <v>52</v>
      </c>
      <c r="B39" s="120">
        <v>286276</v>
      </c>
      <c r="C39" s="39">
        <v>87123</v>
      </c>
      <c r="D39" s="80">
        <f t="shared" si="0"/>
        <v>76339</v>
      </c>
      <c r="E39" s="31"/>
      <c r="F39" s="60"/>
      <c r="G39" s="2">
        <v>2305</v>
      </c>
      <c r="H39" s="2">
        <v>2611</v>
      </c>
      <c r="I39" s="2"/>
      <c r="J39" s="2"/>
      <c r="K39" s="2"/>
      <c r="L39" s="2"/>
      <c r="M39" s="2"/>
      <c r="N39" s="2"/>
      <c r="O39" s="21">
        <v>95</v>
      </c>
      <c r="P39" s="113">
        <f>Q39+R39+S39+T39</f>
        <v>41146</v>
      </c>
      <c r="Q39" s="35">
        <v>29777</v>
      </c>
      <c r="R39" s="2">
        <v>11159</v>
      </c>
      <c r="S39" s="2">
        <v>40</v>
      </c>
      <c r="T39" s="57">
        <v>170</v>
      </c>
      <c r="U39" s="35"/>
      <c r="V39" s="2"/>
      <c r="W39" s="57">
        <f>29382+800</f>
        <v>30182</v>
      </c>
      <c r="X39" s="35"/>
      <c r="Y39" s="2"/>
      <c r="Z39" s="21"/>
      <c r="AA39" s="88">
        <f t="shared" si="2"/>
        <v>449738</v>
      </c>
      <c r="AB39" s="32"/>
      <c r="AC39" s="105">
        <f t="shared" si="3"/>
        <v>449738</v>
      </c>
    </row>
    <row r="40" spans="1:29" ht="12.75">
      <c r="A40" s="15" t="s">
        <v>53</v>
      </c>
      <c r="B40" s="122">
        <f>397881-6622</f>
        <v>391259</v>
      </c>
      <c r="C40" s="26">
        <v>5673</v>
      </c>
      <c r="D40" s="80">
        <f>E40+F40+G40+H40+I40+J40+K40+L40+N40+O40+P40+W40+U40</f>
        <v>140400</v>
      </c>
      <c r="E40" s="30"/>
      <c r="F40" s="17"/>
      <c r="G40" s="2">
        <v>2419</v>
      </c>
      <c r="H40" s="2">
        <v>15348</v>
      </c>
      <c r="I40" s="2"/>
      <c r="J40" s="2">
        <v>231</v>
      </c>
      <c r="K40" s="7">
        <v>1535</v>
      </c>
      <c r="L40" s="2"/>
      <c r="M40" s="2"/>
      <c r="N40" s="2">
        <v>8580</v>
      </c>
      <c r="O40" s="21">
        <v>900</v>
      </c>
      <c r="P40" s="113">
        <f t="shared" si="1"/>
        <v>46072</v>
      </c>
      <c r="Q40" s="35">
        <v>33899</v>
      </c>
      <c r="R40" s="2">
        <v>12173</v>
      </c>
      <c r="S40" s="11"/>
      <c r="T40" s="57"/>
      <c r="U40" s="35">
        <v>1869</v>
      </c>
      <c r="V40" s="2"/>
      <c r="W40" s="57">
        <f>61946+1500</f>
        <v>63446</v>
      </c>
      <c r="X40" s="35"/>
      <c r="Y40" s="2"/>
      <c r="Z40" s="21"/>
      <c r="AA40" s="88">
        <f t="shared" si="2"/>
        <v>537332</v>
      </c>
      <c r="AB40" s="31">
        <v>28800</v>
      </c>
      <c r="AC40" s="105">
        <f t="shared" si="3"/>
        <v>566132</v>
      </c>
    </row>
    <row r="41" spans="1:30" ht="12.75">
      <c r="A41" s="15" t="s">
        <v>25</v>
      </c>
      <c r="B41" s="72">
        <f>B40*97/100+4426+17598</f>
        <v>401545.23</v>
      </c>
      <c r="C41" s="12">
        <f>C40*97/100+64+255</f>
        <v>5821.81</v>
      </c>
      <c r="D41" s="80">
        <f>E41+F41+G41+H41+I41+J41+K41+L41+N41+O41+P41+W41</f>
        <v>72430.95</v>
      </c>
      <c r="E41" s="30"/>
      <c r="F41" s="17"/>
      <c r="G41" s="2">
        <v>2305</v>
      </c>
      <c r="H41" s="2">
        <v>2611</v>
      </c>
      <c r="I41" s="2"/>
      <c r="J41" s="2"/>
      <c r="K41" s="2"/>
      <c r="L41" s="2"/>
      <c r="M41" s="2"/>
      <c r="N41" s="2"/>
      <c r="O41" s="21">
        <v>95</v>
      </c>
      <c r="P41" s="113">
        <f t="shared" si="1"/>
        <v>46666.95</v>
      </c>
      <c r="Q41" s="35">
        <v>32668</v>
      </c>
      <c r="R41" s="11">
        <f>R40*1.15</f>
        <v>13998.949999999999</v>
      </c>
      <c r="S41" s="11"/>
      <c r="T41" s="61"/>
      <c r="U41" s="41"/>
      <c r="V41" s="11"/>
      <c r="W41" s="61">
        <f>19953+800</f>
        <v>20753</v>
      </c>
      <c r="X41" s="35"/>
      <c r="Y41" s="2"/>
      <c r="Z41" s="21"/>
      <c r="AA41" s="86">
        <f>B41+C41+D41+Y41</f>
        <v>479797.99</v>
      </c>
      <c r="AB41" s="32"/>
      <c r="AC41" s="106">
        <f t="shared" si="3"/>
        <v>479797.99</v>
      </c>
      <c r="AD41" s="74"/>
    </row>
    <row r="42" spans="1:29" ht="12.75">
      <c r="A42" s="17"/>
      <c r="B42" s="121"/>
      <c r="C42" s="39"/>
      <c r="D42" s="80">
        <f>E42+F42+G42+H42+I42+J42+K42+L42+N42+O42+P42+W42</f>
        <v>0</v>
      </c>
      <c r="E42" s="30"/>
      <c r="F42" s="17"/>
      <c r="G42" s="2"/>
      <c r="H42" s="2"/>
      <c r="I42" s="2"/>
      <c r="J42" s="2"/>
      <c r="K42" s="2"/>
      <c r="L42" s="2"/>
      <c r="M42" s="2"/>
      <c r="N42" s="2"/>
      <c r="O42" s="21"/>
      <c r="P42" s="114"/>
      <c r="Q42" s="35"/>
      <c r="R42" s="2"/>
      <c r="S42" s="2"/>
      <c r="T42" s="57"/>
      <c r="U42" s="35"/>
      <c r="V42" s="2"/>
      <c r="W42" s="57"/>
      <c r="X42" s="35"/>
      <c r="Y42" s="2"/>
      <c r="Z42" s="21"/>
      <c r="AA42" s="88"/>
      <c r="AB42" s="30"/>
      <c r="AC42" s="105"/>
    </row>
    <row r="43" spans="1:29" ht="12.75">
      <c r="A43" s="18" t="s">
        <v>13</v>
      </c>
      <c r="B43" s="121"/>
      <c r="C43" s="39"/>
      <c r="D43" s="80">
        <f>E43+F43+G43+H43+I43+J43+K43+L43+N43+O43+P43+W43</f>
        <v>0</v>
      </c>
      <c r="E43" s="30"/>
      <c r="F43" s="17"/>
      <c r="G43" s="2"/>
      <c r="H43" s="2"/>
      <c r="I43" s="2"/>
      <c r="J43" s="2"/>
      <c r="K43" s="2"/>
      <c r="L43" s="2"/>
      <c r="M43" s="2"/>
      <c r="N43" s="2"/>
      <c r="O43" s="21"/>
      <c r="P43" s="114"/>
      <c r="Q43" s="35"/>
      <c r="R43" s="2"/>
      <c r="S43" s="2"/>
      <c r="T43" s="57"/>
      <c r="U43" s="35"/>
      <c r="V43" s="2"/>
      <c r="W43" s="57"/>
      <c r="X43" s="35"/>
      <c r="Y43" s="2"/>
      <c r="Z43" s="21"/>
      <c r="AA43" s="88"/>
      <c r="AB43" s="30"/>
      <c r="AC43" s="105"/>
    </row>
    <row r="44" spans="1:29" ht="12.75">
      <c r="A44" s="15" t="s">
        <v>52</v>
      </c>
      <c r="B44" s="120">
        <v>460507</v>
      </c>
      <c r="C44" s="26">
        <v>138563</v>
      </c>
      <c r="D44" s="80">
        <f>E44+F44+G44+H44+I44+J44+K44+L44+N44+O44+P44+W44+U44+M44</f>
        <v>75157</v>
      </c>
      <c r="E44" s="31"/>
      <c r="F44" s="60"/>
      <c r="G44" s="7">
        <v>9900</v>
      </c>
      <c r="H44" s="7">
        <v>1600</v>
      </c>
      <c r="I44" s="7"/>
      <c r="J44" s="7"/>
      <c r="K44" s="7">
        <v>250</v>
      </c>
      <c r="L44" s="7"/>
      <c r="M44" s="7">
        <v>11600</v>
      </c>
      <c r="N44" s="7"/>
      <c r="O44" s="22">
        <v>1000</v>
      </c>
      <c r="P44" s="113">
        <f>Q44+R44+S44+T44</f>
        <v>12007</v>
      </c>
      <c r="Q44" s="37">
        <v>7850</v>
      </c>
      <c r="R44" s="7">
        <v>3500</v>
      </c>
      <c r="S44" s="7">
        <v>450</v>
      </c>
      <c r="T44" s="56">
        <v>207</v>
      </c>
      <c r="U44" s="37">
        <v>800</v>
      </c>
      <c r="V44" s="7"/>
      <c r="W44" s="56">
        <f>36050+1950</f>
        <v>38000</v>
      </c>
      <c r="X44" s="35"/>
      <c r="Y44" s="7"/>
      <c r="Z44" s="21"/>
      <c r="AA44" s="86">
        <f>B44+C44+D44+X44+Y44+Z44</f>
        <v>674227</v>
      </c>
      <c r="AB44" s="31"/>
      <c r="AC44" s="106">
        <f>AA44+AB44</f>
        <v>674227</v>
      </c>
    </row>
    <row r="45" spans="1:29" ht="12.75">
      <c r="A45" s="15" t="s">
        <v>53</v>
      </c>
      <c r="B45" s="122">
        <f>633865-6622</f>
        <v>627243</v>
      </c>
      <c r="C45" s="26">
        <v>9095</v>
      </c>
      <c r="D45" s="80">
        <f>E45+F45+G45+H45+I45+J45+K45+L45+N45+O45+P45+W45+U45+M45+V45</f>
        <v>84382</v>
      </c>
      <c r="E45" s="30"/>
      <c r="F45" s="17"/>
      <c r="G45" s="2">
        <v>10380</v>
      </c>
      <c r="H45" s="2">
        <v>3050</v>
      </c>
      <c r="I45" s="2"/>
      <c r="J45" s="2"/>
      <c r="K45" s="2"/>
      <c r="L45" s="2"/>
      <c r="M45" s="2">
        <v>11181</v>
      </c>
      <c r="N45" s="7"/>
      <c r="O45" s="22">
        <v>1000</v>
      </c>
      <c r="P45" s="113">
        <f>Q45+R45+S45+T45</f>
        <v>14849</v>
      </c>
      <c r="Q45" s="37">
        <v>9230</v>
      </c>
      <c r="R45" s="7">
        <v>4626</v>
      </c>
      <c r="S45" s="7">
        <v>608</v>
      </c>
      <c r="T45" s="56">
        <v>385</v>
      </c>
      <c r="U45" s="37">
        <v>6532</v>
      </c>
      <c r="V45" s="7">
        <v>1000</v>
      </c>
      <c r="W45" s="57">
        <f>33890+2500</f>
        <v>36390</v>
      </c>
      <c r="X45" s="35"/>
      <c r="Y45" s="7"/>
      <c r="Z45" s="21"/>
      <c r="AA45" s="86">
        <f>B45+C45+D45+X45+Y45+Z45</f>
        <v>720720</v>
      </c>
      <c r="AB45" s="31">
        <v>21000</v>
      </c>
      <c r="AC45" s="106">
        <f>AA45+AB45</f>
        <v>741720</v>
      </c>
    </row>
    <row r="46" spans="1:30" ht="12.75">
      <c r="A46" s="15" t="s">
        <v>25</v>
      </c>
      <c r="B46" s="72">
        <f>B45*97/100+893+41856</f>
        <v>651174.71</v>
      </c>
      <c r="C46" s="12">
        <f>C45*97/100+13+607</f>
        <v>9442.15</v>
      </c>
      <c r="D46" s="80">
        <f>E46+F46+G46+H46+I46+J46+K46+L46+N46+O46+P46+W46+U46+M46+V46</f>
        <v>74125</v>
      </c>
      <c r="E46" s="30"/>
      <c r="F46" s="17"/>
      <c r="G46" s="7">
        <v>9900</v>
      </c>
      <c r="H46" s="7">
        <v>1600</v>
      </c>
      <c r="I46" s="2"/>
      <c r="J46" s="7"/>
      <c r="K46" s="2"/>
      <c r="L46" s="2"/>
      <c r="M46" s="2">
        <v>11181</v>
      </c>
      <c r="N46" s="2"/>
      <c r="O46" s="22">
        <v>1000</v>
      </c>
      <c r="P46" s="113">
        <f>Q46+R46+S46+T46</f>
        <v>11644</v>
      </c>
      <c r="Q46" s="37">
        <v>6466</v>
      </c>
      <c r="R46" s="7">
        <v>4583</v>
      </c>
      <c r="S46" s="7">
        <v>362</v>
      </c>
      <c r="T46" s="56">
        <v>233</v>
      </c>
      <c r="U46" s="37">
        <v>1960</v>
      </c>
      <c r="V46" s="7">
        <v>1000</v>
      </c>
      <c r="W46" s="57">
        <f>33890+1950</f>
        <v>35840</v>
      </c>
      <c r="X46" s="35"/>
      <c r="Y46" s="2"/>
      <c r="Z46" s="21"/>
      <c r="AA46" s="86">
        <f>B46+C46+D46+X46+Y46+Z46</f>
        <v>734741.86</v>
      </c>
      <c r="AB46" s="32"/>
      <c r="AC46" s="106">
        <f>AA46+AB46</f>
        <v>734741.86</v>
      </c>
      <c r="AD46" s="74"/>
    </row>
    <row r="47" spans="1:29" ht="12.75">
      <c r="A47" s="17"/>
      <c r="B47" s="121"/>
      <c r="C47" s="39"/>
      <c r="D47" s="80">
        <f aca="true" t="shared" si="4" ref="D47:D54">E47+F47+G47+H47+I47+J47+K47+L47+N47+O47+P47+W47</f>
        <v>0</v>
      </c>
      <c r="E47" s="30"/>
      <c r="F47" s="17"/>
      <c r="G47" s="2"/>
      <c r="H47" s="2"/>
      <c r="I47" s="2"/>
      <c r="J47" s="2"/>
      <c r="K47" s="2"/>
      <c r="L47" s="2"/>
      <c r="M47" s="2"/>
      <c r="N47" s="2"/>
      <c r="O47" s="21"/>
      <c r="P47" s="114"/>
      <c r="Q47" s="35"/>
      <c r="R47" s="2"/>
      <c r="S47" s="2"/>
      <c r="T47" s="57"/>
      <c r="U47" s="35"/>
      <c r="V47" s="2"/>
      <c r="W47" s="57"/>
      <c r="X47" s="35"/>
      <c r="Y47" s="2"/>
      <c r="Z47" s="21"/>
      <c r="AA47" s="88"/>
      <c r="AB47" s="30"/>
      <c r="AC47" s="105"/>
    </row>
    <row r="48" spans="1:29" ht="12.75">
      <c r="A48" s="18" t="s">
        <v>30</v>
      </c>
      <c r="B48" s="121"/>
      <c r="C48" s="39"/>
      <c r="D48" s="80">
        <f t="shared" si="4"/>
        <v>0</v>
      </c>
      <c r="E48" s="30"/>
      <c r="F48" s="17"/>
      <c r="G48" s="2"/>
      <c r="H48" s="2"/>
      <c r="I48" s="2"/>
      <c r="J48" s="2"/>
      <c r="K48" s="2"/>
      <c r="L48" s="2"/>
      <c r="M48" s="2"/>
      <c r="N48" s="2"/>
      <c r="O48" s="21"/>
      <c r="P48" s="114"/>
      <c r="Q48" s="35"/>
      <c r="R48" s="2"/>
      <c r="S48" s="2"/>
      <c r="T48" s="57"/>
      <c r="U48" s="35"/>
      <c r="V48" s="2"/>
      <c r="W48" s="57"/>
      <c r="X48" s="35"/>
      <c r="Y48" s="2"/>
      <c r="Z48" s="21"/>
      <c r="AA48" s="88"/>
      <c r="AB48" s="30"/>
      <c r="AC48" s="105"/>
    </row>
    <row r="49" spans="1:29" ht="12.75">
      <c r="A49" s="15" t="s">
        <v>52</v>
      </c>
      <c r="B49" s="122">
        <v>226437</v>
      </c>
      <c r="C49" s="26">
        <v>69017</v>
      </c>
      <c r="D49" s="80">
        <f t="shared" si="4"/>
        <v>208694</v>
      </c>
      <c r="E49" s="30"/>
      <c r="F49" s="17"/>
      <c r="G49" s="7">
        <v>2300</v>
      </c>
      <c r="H49" s="7">
        <v>15000</v>
      </c>
      <c r="I49" s="2"/>
      <c r="J49" s="2"/>
      <c r="K49" s="5"/>
      <c r="L49" s="5"/>
      <c r="M49" s="5"/>
      <c r="N49" s="7"/>
      <c r="O49" s="21"/>
      <c r="P49" s="113">
        <f>Q49+R49+S49+T49</f>
        <v>38906</v>
      </c>
      <c r="Q49" s="37">
        <v>11621</v>
      </c>
      <c r="R49" s="7">
        <v>25562</v>
      </c>
      <c r="S49" s="7">
        <v>785</v>
      </c>
      <c r="T49" s="56">
        <v>938</v>
      </c>
      <c r="U49" s="37"/>
      <c r="V49" s="7"/>
      <c r="W49" s="56">
        <v>152488</v>
      </c>
      <c r="X49" s="35"/>
      <c r="Y49" s="2"/>
      <c r="Z49" s="21"/>
      <c r="AA49" s="88">
        <f>B49+C49+D49+X49+Y49+Z49</f>
        <v>504148</v>
      </c>
      <c r="AB49" s="30"/>
      <c r="AC49" s="105">
        <f>AA49+AB49</f>
        <v>504148</v>
      </c>
    </row>
    <row r="50" spans="1:29" ht="12.75">
      <c r="A50" s="15" t="s">
        <v>53</v>
      </c>
      <c r="B50" s="122">
        <f>317679+1100-13800</f>
        <v>304979</v>
      </c>
      <c r="C50" s="26">
        <v>4422</v>
      </c>
      <c r="D50" s="80">
        <f t="shared" si="4"/>
        <v>133984</v>
      </c>
      <c r="E50" s="30"/>
      <c r="F50" s="17"/>
      <c r="G50" s="7">
        <v>2354</v>
      </c>
      <c r="H50" s="7">
        <v>15560</v>
      </c>
      <c r="I50" s="2"/>
      <c r="J50" s="2"/>
      <c r="K50" s="5"/>
      <c r="L50" s="5"/>
      <c r="M50" s="5"/>
      <c r="N50" s="5"/>
      <c r="O50" s="21"/>
      <c r="P50" s="113">
        <f>Q50+R50+S50+T50</f>
        <v>41570</v>
      </c>
      <c r="Q50" s="35">
        <v>13540</v>
      </c>
      <c r="R50" s="7">
        <v>25500</v>
      </c>
      <c r="S50" s="7">
        <v>1730</v>
      </c>
      <c r="T50" s="56">
        <v>800</v>
      </c>
      <c r="U50" s="37"/>
      <c r="V50" s="7"/>
      <c r="W50" s="57">
        <v>74500</v>
      </c>
      <c r="X50" s="35"/>
      <c r="Y50" s="2"/>
      <c r="Z50" s="21"/>
      <c r="AA50" s="88">
        <f>B50+C50+D50+X50+Y50+Z50</f>
        <v>443385</v>
      </c>
      <c r="AB50" s="31">
        <v>5500</v>
      </c>
      <c r="AC50" s="105">
        <f>AA50+AB50</f>
        <v>448885</v>
      </c>
    </row>
    <row r="51" spans="1:30" ht="12.75">
      <c r="A51" s="15" t="s">
        <v>25</v>
      </c>
      <c r="B51" s="72">
        <f>B50*97/100+8700</f>
        <v>304529.63</v>
      </c>
      <c r="C51" s="12">
        <f>C50*97/100+126</f>
        <v>4415.34</v>
      </c>
      <c r="D51" s="80">
        <f t="shared" si="4"/>
        <v>73371</v>
      </c>
      <c r="E51" s="30"/>
      <c r="F51" s="17"/>
      <c r="G51" s="7">
        <v>2300</v>
      </c>
      <c r="H51" s="2">
        <v>15000</v>
      </c>
      <c r="I51" s="2"/>
      <c r="J51" s="2"/>
      <c r="K51" s="5"/>
      <c r="L51" s="5"/>
      <c r="M51" s="5"/>
      <c r="N51" s="5"/>
      <c r="O51" s="21"/>
      <c r="P51" s="113">
        <f>Q51+R51+S51+T51</f>
        <v>25265</v>
      </c>
      <c r="Q51" s="35">
        <v>12696</v>
      </c>
      <c r="R51" s="12">
        <v>10925</v>
      </c>
      <c r="S51" s="2">
        <v>992</v>
      </c>
      <c r="T51" s="57">
        <v>652</v>
      </c>
      <c r="U51" s="35"/>
      <c r="V51" s="2"/>
      <c r="W51" s="61">
        <v>30806</v>
      </c>
      <c r="X51" s="35"/>
      <c r="Y51" s="2"/>
      <c r="Z51" s="21"/>
      <c r="AA51" s="86">
        <f>B51+C51+D51</f>
        <v>382315.97000000003</v>
      </c>
      <c r="AB51" s="32"/>
      <c r="AC51" s="106">
        <f>AA51+AB51</f>
        <v>382315.97000000003</v>
      </c>
      <c r="AD51" s="74"/>
    </row>
    <row r="52" spans="1:29" ht="12.75">
      <c r="A52" s="17"/>
      <c r="B52" s="121"/>
      <c r="C52" s="39"/>
      <c r="D52" s="80">
        <f t="shared" si="4"/>
        <v>0</v>
      </c>
      <c r="E52" s="30"/>
      <c r="F52" s="17"/>
      <c r="G52" s="2"/>
      <c r="H52" s="2"/>
      <c r="I52" s="2"/>
      <c r="J52" s="2"/>
      <c r="K52" s="2"/>
      <c r="L52" s="2"/>
      <c r="M52" s="2"/>
      <c r="N52" s="2"/>
      <c r="O52" s="21"/>
      <c r="P52" s="114"/>
      <c r="Q52" s="35"/>
      <c r="R52" s="2"/>
      <c r="S52" s="2"/>
      <c r="T52" s="57"/>
      <c r="U52" s="35"/>
      <c r="V52" s="2"/>
      <c r="W52" s="57"/>
      <c r="X52" s="35"/>
      <c r="Y52" s="2"/>
      <c r="Z52" s="21"/>
      <c r="AA52" s="88"/>
      <c r="AB52" s="30"/>
      <c r="AC52" s="105"/>
    </row>
    <row r="53" spans="1:29" ht="12.75">
      <c r="A53" s="18" t="s">
        <v>43</v>
      </c>
      <c r="B53" s="121"/>
      <c r="C53" s="39"/>
      <c r="D53" s="80">
        <f t="shared" si="4"/>
        <v>0</v>
      </c>
      <c r="E53" s="30"/>
      <c r="F53" s="17"/>
      <c r="G53" s="2"/>
      <c r="H53" s="2"/>
      <c r="I53" s="2"/>
      <c r="J53" s="2"/>
      <c r="K53" s="2"/>
      <c r="L53" s="2"/>
      <c r="M53" s="2"/>
      <c r="N53" s="2"/>
      <c r="O53" s="21"/>
      <c r="P53" s="114"/>
      <c r="Q53" s="35"/>
      <c r="R53" s="2"/>
      <c r="S53" s="2"/>
      <c r="T53" s="57"/>
      <c r="U53" s="35"/>
      <c r="V53" s="2"/>
      <c r="W53" s="57"/>
      <c r="X53" s="35"/>
      <c r="Y53" s="2"/>
      <c r="Z53" s="21"/>
      <c r="AA53" s="88"/>
      <c r="AB53" s="30"/>
      <c r="AC53" s="105"/>
    </row>
    <row r="54" spans="1:29" ht="12.75">
      <c r="A54" s="15" t="s">
        <v>52</v>
      </c>
      <c r="B54" s="121">
        <v>295335</v>
      </c>
      <c r="C54" s="39">
        <v>89518</v>
      </c>
      <c r="D54" s="80">
        <f t="shared" si="4"/>
        <v>36731</v>
      </c>
      <c r="E54" s="30"/>
      <c r="F54" s="17"/>
      <c r="G54" s="7">
        <v>5500</v>
      </c>
      <c r="H54" s="7">
        <v>2700</v>
      </c>
      <c r="I54" s="2"/>
      <c r="J54" s="2"/>
      <c r="K54" s="5"/>
      <c r="L54" s="2"/>
      <c r="M54" s="2"/>
      <c r="N54" s="2"/>
      <c r="O54" s="21">
        <v>300</v>
      </c>
      <c r="P54" s="113">
        <f>Q54+R54+S54+T54</f>
        <v>24831</v>
      </c>
      <c r="Q54" s="35">
        <v>13070</v>
      </c>
      <c r="R54" s="7">
        <v>8400</v>
      </c>
      <c r="S54" s="7">
        <v>2361</v>
      </c>
      <c r="T54" s="56">
        <v>1000</v>
      </c>
      <c r="U54" s="37"/>
      <c r="V54" s="7"/>
      <c r="W54" s="56">
        <f>2900+500</f>
        <v>3400</v>
      </c>
      <c r="X54" s="35"/>
      <c r="Y54" s="2"/>
      <c r="Z54" s="21"/>
      <c r="AA54" s="88">
        <f>B54+C54+D54+X54+Y54+Z54</f>
        <v>421584</v>
      </c>
      <c r="AB54" s="30"/>
      <c r="AC54" s="105">
        <f>AA54+AB54</f>
        <v>421584</v>
      </c>
    </row>
    <row r="55" spans="1:29" ht="12.75">
      <c r="A55" s="15" t="s">
        <v>53</v>
      </c>
      <c r="B55" s="121">
        <v>720310</v>
      </c>
      <c r="C55" s="26">
        <v>10445</v>
      </c>
      <c r="D55" s="80">
        <f>E55+F55+G55+H55+I55+J55+K55+L55+N55+O55+P55+W55+U55+V55</f>
        <v>127120</v>
      </c>
      <c r="E55" s="30"/>
      <c r="F55" s="17">
        <v>300</v>
      </c>
      <c r="G55" s="7">
        <v>8804</v>
      </c>
      <c r="H55" s="7">
        <v>19739</v>
      </c>
      <c r="I55" s="7">
        <v>3700</v>
      </c>
      <c r="J55" s="2"/>
      <c r="K55" s="2">
        <v>300</v>
      </c>
      <c r="L55" s="2"/>
      <c r="M55" s="2">
        <v>2040</v>
      </c>
      <c r="N55" s="2"/>
      <c r="O55" s="22">
        <v>5000</v>
      </c>
      <c r="P55" s="113">
        <f>Q55+R55+S55+T55</f>
        <v>31339</v>
      </c>
      <c r="Q55" s="37">
        <v>16426</v>
      </c>
      <c r="R55" s="2">
        <v>10500</v>
      </c>
      <c r="S55" s="2">
        <v>3373</v>
      </c>
      <c r="T55" s="57">
        <v>1040</v>
      </c>
      <c r="U55" s="35">
        <v>5800</v>
      </c>
      <c r="V55" s="2">
        <v>1500</v>
      </c>
      <c r="W55" s="56">
        <v>50638</v>
      </c>
      <c r="X55" s="35"/>
      <c r="Y55" s="2"/>
      <c r="Z55" s="21"/>
      <c r="AA55" s="88">
        <f>B55+C55+D55+X55+Y55+Z55</f>
        <v>857875</v>
      </c>
      <c r="AB55" s="32">
        <v>23520</v>
      </c>
      <c r="AC55" s="105">
        <f>AA55+AB55</f>
        <v>881395</v>
      </c>
    </row>
    <row r="56" spans="1:29" ht="12.75">
      <c r="A56" s="15" t="s">
        <v>25</v>
      </c>
      <c r="B56" s="72">
        <f>B55*97/100+14873</f>
        <v>713573.7</v>
      </c>
      <c r="C56" s="12">
        <f>C55*97/100+216</f>
        <v>10347.65</v>
      </c>
      <c r="D56" s="80">
        <f aca="true" t="shared" si="5" ref="D56:D61">E56+F56+G56+H56+I56+J56+K56+L56+N56+O56+P56+W56</f>
        <v>67528</v>
      </c>
      <c r="E56" s="30"/>
      <c r="F56" s="17"/>
      <c r="G56" s="12">
        <v>7152</v>
      </c>
      <c r="H56" s="12">
        <v>4000</v>
      </c>
      <c r="I56" s="12"/>
      <c r="J56" s="12"/>
      <c r="K56" s="11"/>
      <c r="L56" s="2"/>
      <c r="M56" s="2">
        <v>2040</v>
      </c>
      <c r="N56" s="2"/>
      <c r="O56" s="26">
        <v>300</v>
      </c>
      <c r="P56" s="113">
        <f>Q56+R56+S56+T56</f>
        <v>32224</v>
      </c>
      <c r="Q56" s="37">
        <f>Q55</f>
        <v>16426</v>
      </c>
      <c r="R56" s="7">
        <v>11517</v>
      </c>
      <c r="S56" s="2">
        <v>3272</v>
      </c>
      <c r="T56" s="57">
        <v>1009</v>
      </c>
      <c r="U56" s="35"/>
      <c r="V56" s="2"/>
      <c r="W56" s="56">
        <f>2900+20952</f>
        <v>23852</v>
      </c>
      <c r="X56" s="35"/>
      <c r="Y56" s="2"/>
      <c r="Z56" s="21"/>
      <c r="AA56" s="86">
        <f>B56+C56+D56+X56+Y56+Z56+1</f>
        <v>791450.35</v>
      </c>
      <c r="AB56" s="31"/>
      <c r="AC56" s="106">
        <f>AA56+AB56</f>
        <v>791450.35</v>
      </c>
    </row>
    <row r="57" spans="1:29" ht="12.75">
      <c r="A57" s="15"/>
      <c r="B57" s="123"/>
      <c r="C57" s="70"/>
      <c r="D57" s="80">
        <f t="shared" si="5"/>
        <v>0</v>
      </c>
      <c r="E57" s="30"/>
      <c r="F57" s="17"/>
      <c r="G57" s="2"/>
      <c r="H57" s="2"/>
      <c r="I57" s="2"/>
      <c r="J57" s="2"/>
      <c r="K57" s="2"/>
      <c r="L57" s="2"/>
      <c r="M57" s="2"/>
      <c r="N57" s="2"/>
      <c r="O57" s="21"/>
      <c r="P57" s="115"/>
      <c r="Q57" s="35"/>
      <c r="R57" s="2"/>
      <c r="S57" s="2"/>
      <c r="T57" s="57"/>
      <c r="U57" s="35"/>
      <c r="V57" s="2"/>
      <c r="W57" s="57"/>
      <c r="X57" s="35"/>
      <c r="Y57" s="2"/>
      <c r="Z57" s="21"/>
      <c r="AA57" s="91"/>
      <c r="AB57" s="32"/>
      <c r="AC57" s="107"/>
    </row>
    <row r="58" spans="1:29" ht="12.75">
      <c r="A58" s="18" t="s">
        <v>31</v>
      </c>
      <c r="B58" s="123"/>
      <c r="C58" s="70"/>
      <c r="D58" s="80">
        <f t="shared" si="5"/>
        <v>0</v>
      </c>
      <c r="E58" s="30"/>
      <c r="F58" s="17"/>
      <c r="G58" s="2"/>
      <c r="H58" s="2"/>
      <c r="I58" s="2"/>
      <c r="J58" s="2"/>
      <c r="K58" s="2"/>
      <c r="L58" s="2"/>
      <c r="M58" s="2"/>
      <c r="N58" s="2"/>
      <c r="O58" s="21"/>
      <c r="P58" s="115"/>
      <c r="Q58" s="35"/>
      <c r="R58" s="2"/>
      <c r="S58" s="2"/>
      <c r="T58" s="57"/>
      <c r="U58" s="35"/>
      <c r="V58" s="2"/>
      <c r="W58" s="57"/>
      <c r="X58" s="35"/>
      <c r="Y58" s="2"/>
      <c r="Z58" s="21"/>
      <c r="AA58" s="91"/>
      <c r="AB58" s="32"/>
      <c r="AC58" s="107"/>
    </row>
    <row r="59" spans="1:29" ht="12.75">
      <c r="A59" s="15" t="s">
        <v>52</v>
      </c>
      <c r="B59" s="72">
        <v>27448</v>
      </c>
      <c r="C59" s="26">
        <v>8116</v>
      </c>
      <c r="D59" s="80">
        <f t="shared" si="5"/>
        <v>4066</v>
      </c>
      <c r="E59" s="30"/>
      <c r="F59" s="17"/>
      <c r="G59" s="2">
        <v>790</v>
      </c>
      <c r="H59" s="2">
        <v>500</v>
      </c>
      <c r="I59" s="2"/>
      <c r="J59" s="2"/>
      <c r="K59" s="2"/>
      <c r="L59" s="2"/>
      <c r="M59" s="2"/>
      <c r="N59" s="2"/>
      <c r="O59" s="21"/>
      <c r="P59" s="113">
        <f>Q59+R59+S59+T59</f>
        <v>1751</v>
      </c>
      <c r="Q59" s="35">
        <v>753</v>
      </c>
      <c r="R59" s="2">
        <v>826</v>
      </c>
      <c r="S59" s="2">
        <v>116</v>
      </c>
      <c r="T59" s="57">
        <v>56</v>
      </c>
      <c r="U59" s="35"/>
      <c r="V59" s="2"/>
      <c r="W59" s="57">
        <f>775+250</f>
        <v>1025</v>
      </c>
      <c r="X59" s="35"/>
      <c r="Y59" s="2"/>
      <c r="Z59" s="21"/>
      <c r="AA59" s="88">
        <f>B59+C59+D59+X59+Y59+Z59</f>
        <v>39630</v>
      </c>
      <c r="AB59" s="31"/>
      <c r="AC59" s="105">
        <f>AA59+AB59</f>
        <v>39630</v>
      </c>
    </row>
    <row r="60" spans="1:29" ht="12.75">
      <c r="A60" s="15" t="s">
        <v>53</v>
      </c>
      <c r="B60" s="72">
        <f>51203+1764</f>
        <v>52967</v>
      </c>
      <c r="C60" s="26">
        <v>768</v>
      </c>
      <c r="D60" s="80">
        <f t="shared" si="5"/>
        <v>14876</v>
      </c>
      <c r="E60" s="30"/>
      <c r="F60" s="17"/>
      <c r="G60" s="2">
        <v>935</v>
      </c>
      <c r="H60" s="2">
        <v>800</v>
      </c>
      <c r="I60" s="2"/>
      <c r="J60" s="2"/>
      <c r="K60" s="2"/>
      <c r="L60" s="2"/>
      <c r="M60" s="2"/>
      <c r="N60" s="2"/>
      <c r="O60" s="21">
        <v>500</v>
      </c>
      <c r="P60" s="113">
        <f>Q60+R60+S60+T60</f>
        <v>1621</v>
      </c>
      <c r="Q60" s="35">
        <v>803</v>
      </c>
      <c r="R60" s="2">
        <v>590</v>
      </c>
      <c r="S60" s="2">
        <v>180</v>
      </c>
      <c r="T60" s="57">
        <v>48</v>
      </c>
      <c r="U60" s="35"/>
      <c r="V60" s="2"/>
      <c r="W60" s="57">
        <v>11020</v>
      </c>
      <c r="X60" s="35"/>
      <c r="Y60" s="2"/>
      <c r="Z60" s="21"/>
      <c r="AA60" s="88">
        <f>B60+C60+D60+X60+Y60+Z60</f>
        <v>68611</v>
      </c>
      <c r="AB60" s="31">
        <v>500</v>
      </c>
      <c r="AC60" s="105">
        <f>AA60+AB60</f>
        <v>69111</v>
      </c>
    </row>
    <row r="61" spans="1:30" ht="12.75">
      <c r="A61" s="15" t="s">
        <v>25</v>
      </c>
      <c r="B61" s="72">
        <f>B60*97/100+1613+635</f>
        <v>53625.99</v>
      </c>
      <c r="C61" s="12">
        <f>C60*97/100+23+9</f>
        <v>776.96</v>
      </c>
      <c r="D61" s="80">
        <f t="shared" si="5"/>
        <v>3719</v>
      </c>
      <c r="E61" s="30"/>
      <c r="F61" s="17"/>
      <c r="G61" s="2">
        <v>790</v>
      </c>
      <c r="H61" s="2">
        <v>500</v>
      </c>
      <c r="I61" s="2"/>
      <c r="J61" s="2"/>
      <c r="K61" s="2"/>
      <c r="L61" s="2"/>
      <c r="M61" s="2"/>
      <c r="N61" s="2"/>
      <c r="O61" s="21"/>
      <c r="P61" s="113">
        <f>Q61+R61+S61+T61</f>
        <v>1404</v>
      </c>
      <c r="Q61" s="35">
        <v>803</v>
      </c>
      <c r="R61" s="7">
        <v>404</v>
      </c>
      <c r="S61" s="2">
        <v>141</v>
      </c>
      <c r="T61" s="57">
        <v>56</v>
      </c>
      <c r="U61" s="35"/>
      <c r="V61" s="2"/>
      <c r="W61" s="57">
        <f>775+250</f>
        <v>1025</v>
      </c>
      <c r="X61" s="35"/>
      <c r="Y61" s="2"/>
      <c r="Z61" s="21"/>
      <c r="AA61" s="86">
        <f>B61+C61+D61+X61+Y61+Z61</f>
        <v>58121.95</v>
      </c>
      <c r="AB61" s="32"/>
      <c r="AC61" s="106">
        <f>AA61+AB61</f>
        <v>58121.95</v>
      </c>
      <c r="AD61" s="74"/>
    </row>
    <row r="62" spans="1:29" ht="12.75">
      <c r="A62" s="15"/>
      <c r="B62" s="72"/>
      <c r="C62" s="26"/>
      <c r="D62" s="80"/>
      <c r="E62" s="30"/>
      <c r="F62" s="17"/>
      <c r="G62" s="2"/>
      <c r="H62" s="2"/>
      <c r="I62" s="2"/>
      <c r="J62" s="2"/>
      <c r="K62" s="2"/>
      <c r="L62" s="2"/>
      <c r="M62" s="2"/>
      <c r="N62" s="2"/>
      <c r="O62" s="21"/>
      <c r="P62" s="113"/>
      <c r="Q62" s="35"/>
      <c r="R62" s="2"/>
      <c r="S62" s="2"/>
      <c r="T62" s="57"/>
      <c r="U62" s="35"/>
      <c r="V62" s="2"/>
      <c r="W62" s="57"/>
      <c r="X62" s="35"/>
      <c r="Y62" s="2"/>
      <c r="Z62" s="21"/>
      <c r="AA62" s="86"/>
      <c r="AB62" s="32"/>
      <c r="AC62" s="106"/>
    </row>
    <row r="63" spans="1:29" ht="12.75">
      <c r="A63" s="18" t="s">
        <v>54</v>
      </c>
      <c r="B63" s="72"/>
      <c r="C63" s="26"/>
      <c r="D63" s="80"/>
      <c r="E63" s="30"/>
      <c r="F63" s="17"/>
      <c r="G63" s="2"/>
      <c r="H63" s="2"/>
      <c r="I63" s="2"/>
      <c r="J63" s="2"/>
      <c r="K63" s="2"/>
      <c r="L63" s="2"/>
      <c r="M63" s="2"/>
      <c r="N63" s="2"/>
      <c r="O63" s="21"/>
      <c r="P63" s="113"/>
      <c r="Q63" s="35"/>
      <c r="R63" s="2"/>
      <c r="S63" s="2"/>
      <c r="T63" s="57"/>
      <c r="U63" s="35"/>
      <c r="V63" s="2"/>
      <c r="W63" s="57"/>
      <c r="X63" s="35"/>
      <c r="Y63" s="2"/>
      <c r="Z63" s="21"/>
      <c r="AA63" s="86"/>
      <c r="AB63" s="32"/>
      <c r="AC63" s="106"/>
    </row>
    <row r="64" spans="1:29" ht="12.75">
      <c r="A64" s="15" t="s">
        <v>52</v>
      </c>
      <c r="B64" s="72"/>
      <c r="C64" s="26"/>
      <c r="D64" s="80"/>
      <c r="E64" s="30"/>
      <c r="F64" s="17"/>
      <c r="G64" s="2"/>
      <c r="H64" s="2"/>
      <c r="I64" s="2"/>
      <c r="J64" s="2"/>
      <c r="K64" s="2"/>
      <c r="L64" s="2"/>
      <c r="M64" s="2"/>
      <c r="N64" s="2"/>
      <c r="O64" s="21"/>
      <c r="P64" s="113"/>
      <c r="Q64" s="35"/>
      <c r="R64" s="2"/>
      <c r="S64" s="2"/>
      <c r="T64" s="57"/>
      <c r="U64" s="35"/>
      <c r="V64" s="2"/>
      <c r="W64" s="57"/>
      <c r="X64" s="35"/>
      <c r="Y64" s="2"/>
      <c r="Z64" s="21"/>
      <c r="AA64" s="86"/>
      <c r="AB64" s="32"/>
      <c r="AC64" s="106"/>
    </row>
    <row r="65" spans="1:29" ht="12.75">
      <c r="A65" s="15" t="s">
        <v>53</v>
      </c>
      <c r="B65" s="72">
        <v>180716</v>
      </c>
      <c r="C65" s="26">
        <v>2620</v>
      </c>
      <c r="D65" s="80">
        <f>E65+F65+G65+H65+I65+J65+K65+L65+N65+O65+P65+W65</f>
        <v>69860</v>
      </c>
      <c r="E65" s="30"/>
      <c r="F65" s="17"/>
      <c r="G65" s="2">
        <v>1415</v>
      </c>
      <c r="H65" s="2">
        <v>1200</v>
      </c>
      <c r="I65" s="2"/>
      <c r="J65" s="2"/>
      <c r="K65" s="2"/>
      <c r="L65" s="2"/>
      <c r="M65" s="2"/>
      <c r="N65" s="2"/>
      <c r="O65" s="21">
        <v>1200</v>
      </c>
      <c r="P65" s="113">
        <f>Q65+R65+S65+T65</f>
        <v>18000</v>
      </c>
      <c r="Q65" s="35">
        <v>6330</v>
      </c>
      <c r="R65" s="2">
        <v>10360</v>
      </c>
      <c r="S65" s="2">
        <v>1190</v>
      </c>
      <c r="T65" s="57">
        <v>120</v>
      </c>
      <c r="U65" s="35"/>
      <c r="V65" s="2"/>
      <c r="W65" s="57">
        <v>48045</v>
      </c>
      <c r="X65" s="35"/>
      <c r="Y65" s="2"/>
      <c r="Z65" s="21"/>
      <c r="AA65" s="88">
        <f>B65+C65+D65+X65+Y65+Z65</f>
        <v>253196</v>
      </c>
      <c r="AB65" s="32"/>
      <c r="AC65" s="105">
        <f>AA65+AB65</f>
        <v>253196</v>
      </c>
    </row>
    <row r="66" spans="1:29" ht="12.75">
      <c r="A66" s="15" t="s">
        <v>25</v>
      </c>
      <c r="B66" s="72">
        <f>B65*97/100+4102</f>
        <v>179396.52</v>
      </c>
      <c r="C66" s="12">
        <f>C65*97/100+59</f>
        <v>2600.4</v>
      </c>
      <c r="D66" s="80">
        <f>E66+F66+G66+H66+I66+J66+K66+L66+N66+O66+P66+W66</f>
        <v>68760</v>
      </c>
      <c r="E66" s="30"/>
      <c r="F66" s="17"/>
      <c r="G66" s="11">
        <v>1415</v>
      </c>
      <c r="H66" s="11">
        <v>1200</v>
      </c>
      <c r="I66" s="2"/>
      <c r="J66" s="2"/>
      <c r="K66" s="2"/>
      <c r="L66" s="2"/>
      <c r="M66" s="2"/>
      <c r="N66" s="2"/>
      <c r="O66" s="39">
        <v>100</v>
      </c>
      <c r="P66" s="113">
        <f>Q66+R66+S66+T66</f>
        <v>18000</v>
      </c>
      <c r="Q66" s="35">
        <v>6330</v>
      </c>
      <c r="R66" s="2">
        <v>10360</v>
      </c>
      <c r="S66" s="2">
        <v>1190</v>
      </c>
      <c r="T66" s="57">
        <v>120</v>
      </c>
      <c r="U66" s="35"/>
      <c r="V66" s="2"/>
      <c r="W66" s="61">
        <v>48045</v>
      </c>
      <c r="X66" s="35"/>
      <c r="Y66" s="2"/>
      <c r="Z66" s="21"/>
      <c r="AA66" s="86">
        <f>B66+C66+D66+X66+Y66+Z66</f>
        <v>250756.91999999998</v>
      </c>
      <c r="AB66" s="31"/>
      <c r="AC66" s="106">
        <f>AA66+AB66</f>
        <v>250756.91999999998</v>
      </c>
    </row>
    <row r="67" spans="1:29" ht="12.75">
      <c r="A67" s="17"/>
      <c r="B67" s="121"/>
      <c r="C67" s="39"/>
      <c r="D67" s="81"/>
      <c r="E67" s="30"/>
      <c r="F67" s="17"/>
      <c r="G67" s="2"/>
      <c r="H67" s="2"/>
      <c r="I67" s="2"/>
      <c r="J67" s="2"/>
      <c r="K67" s="2"/>
      <c r="L67" s="2"/>
      <c r="M67" s="2"/>
      <c r="N67" s="2"/>
      <c r="O67" s="21"/>
      <c r="P67" s="113"/>
      <c r="Q67" s="35"/>
      <c r="R67" s="2"/>
      <c r="S67" s="2"/>
      <c r="T67" s="57"/>
      <c r="U67" s="35"/>
      <c r="V67" s="2"/>
      <c r="W67" s="57"/>
      <c r="X67" s="35"/>
      <c r="Y67" s="2"/>
      <c r="Z67" s="21"/>
      <c r="AA67" s="88"/>
      <c r="AB67" s="30"/>
      <c r="AC67" s="105"/>
    </row>
    <row r="68" spans="1:29" ht="12.75">
      <c r="A68" s="18" t="s">
        <v>32</v>
      </c>
      <c r="B68" s="72"/>
      <c r="C68" s="39"/>
      <c r="D68" s="80"/>
      <c r="E68" s="30"/>
      <c r="F68" s="17"/>
      <c r="G68" s="7"/>
      <c r="H68" s="7"/>
      <c r="I68" s="2"/>
      <c r="J68" s="7"/>
      <c r="K68" s="7"/>
      <c r="L68" s="2"/>
      <c r="M68" s="2"/>
      <c r="N68" s="2"/>
      <c r="O68" s="21"/>
      <c r="P68" s="113"/>
      <c r="Q68" s="37"/>
      <c r="R68" s="7"/>
      <c r="S68" s="7"/>
      <c r="T68" s="57"/>
      <c r="U68" s="35"/>
      <c r="V68" s="2"/>
      <c r="W68" s="55"/>
      <c r="X68" s="35"/>
      <c r="Y68" s="7"/>
      <c r="Z68" s="21"/>
      <c r="AA68" s="86"/>
      <c r="AB68" s="30"/>
      <c r="AC68" s="103"/>
    </row>
    <row r="69" spans="1:29" ht="12.75">
      <c r="A69" s="15" t="s">
        <v>52</v>
      </c>
      <c r="B69" s="72">
        <v>103493</v>
      </c>
      <c r="C69" s="39">
        <v>31773</v>
      </c>
      <c r="D69" s="80">
        <f aca="true" t="shared" si="6" ref="D69:D79">E69+F69+G69+H69+I69+J69+K69+L69+N69+O69+P69+W69</f>
        <v>45696</v>
      </c>
      <c r="E69" s="30"/>
      <c r="F69" s="17"/>
      <c r="G69" s="7">
        <v>1930</v>
      </c>
      <c r="H69" s="7">
        <v>3100</v>
      </c>
      <c r="I69" s="2"/>
      <c r="J69" s="7"/>
      <c r="K69" s="7"/>
      <c r="L69" s="2">
        <v>4000</v>
      </c>
      <c r="M69" s="2"/>
      <c r="N69" s="2"/>
      <c r="O69" s="21">
        <v>100</v>
      </c>
      <c r="P69" s="113">
        <f>Q69+R69+S69+T69</f>
        <v>31764</v>
      </c>
      <c r="Q69" s="37">
        <v>19050</v>
      </c>
      <c r="R69" s="7">
        <v>11050</v>
      </c>
      <c r="S69" s="7">
        <v>1664</v>
      </c>
      <c r="T69" s="57"/>
      <c r="U69" s="35"/>
      <c r="V69" s="2"/>
      <c r="W69" s="55">
        <f>3510+1292</f>
        <v>4802</v>
      </c>
      <c r="X69" s="35">
        <v>25536</v>
      </c>
      <c r="Y69" s="7"/>
      <c r="Z69" s="21">
        <v>5665</v>
      </c>
      <c r="AA69" s="86">
        <f>B69+C69+D69+X69+Y69+Z69</f>
        <v>212163</v>
      </c>
      <c r="AB69" s="30"/>
      <c r="AC69" s="103">
        <f>AA69+AB69</f>
        <v>212163</v>
      </c>
    </row>
    <row r="70" spans="1:29" ht="12.75">
      <c r="A70" s="15" t="s">
        <v>53</v>
      </c>
      <c r="B70" s="120">
        <v>126199</v>
      </c>
      <c r="C70" s="39">
        <v>1846</v>
      </c>
      <c r="D70" s="80">
        <f t="shared" si="6"/>
        <v>66829</v>
      </c>
      <c r="E70" s="30"/>
      <c r="F70" s="17"/>
      <c r="G70" s="2">
        <v>1714</v>
      </c>
      <c r="H70" s="2">
        <v>3603</v>
      </c>
      <c r="I70" s="2"/>
      <c r="J70" s="7"/>
      <c r="K70" s="2"/>
      <c r="L70" s="7">
        <v>8310</v>
      </c>
      <c r="M70" s="7"/>
      <c r="N70" s="2"/>
      <c r="O70" s="21">
        <v>600</v>
      </c>
      <c r="P70" s="113">
        <f>Q70+R70+S70+T70</f>
        <v>43492</v>
      </c>
      <c r="Q70" s="37">
        <v>27774</v>
      </c>
      <c r="R70" s="7">
        <v>14079</v>
      </c>
      <c r="S70" s="2">
        <v>1639</v>
      </c>
      <c r="T70" s="57"/>
      <c r="U70" s="35"/>
      <c r="V70" s="2"/>
      <c r="W70" s="56">
        <f>7820+1290</f>
        <v>9110</v>
      </c>
      <c r="X70" s="37">
        <v>25536</v>
      </c>
      <c r="Y70" s="7"/>
      <c r="Z70" s="21">
        <v>8353</v>
      </c>
      <c r="AA70" s="88">
        <f>B70+C70+D70+X70+Y70+Z70</f>
        <v>228763</v>
      </c>
      <c r="AB70" s="31">
        <v>61520</v>
      </c>
      <c r="AC70" s="105">
        <f>AA70+AB70</f>
        <v>290283</v>
      </c>
    </row>
    <row r="71" spans="1:30" ht="12.75">
      <c r="A71" s="15" t="s">
        <v>25</v>
      </c>
      <c r="B71" s="72">
        <f>B70*97/100+1378+2279+1812-624</f>
        <v>127258.03</v>
      </c>
      <c r="C71" s="12">
        <f>C70*97/100+20+33+26-9</f>
        <v>1860.62</v>
      </c>
      <c r="D71" s="80">
        <f t="shared" si="6"/>
        <v>57916.85</v>
      </c>
      <c r="E71" s="30"/>
      <c r="F71" s="17"/>
      <c r="G71" s="7">
        <v>1930</v>
      </c>
      <c r="H71" s="2">
        <v>3100</v>
      </c>
      <c r="I71" s="2"/>
      <c r="J71" s="2"/>
      <c r="K71" s="2"/>
      <c r="L71" s="11">
        <v>4000</v>
      </c>
      <c r="M71" s="2"/>
      <c r="N71" s="2"/>
      <c r="O71" s="21">
        <v>100</v>
      </c>
      <c r="P71" s="113">
        <f>Q71+R71+S71+T71</f>
        <v>43986.85</v>
      </c>
      <c r="Q71" s="35">
        <v>22109</v>
      </c>
      <c r="R71" s="7">
        <f>R70*1.15</f>
        <v>16190.849999999999</v>
      </c>
      <c r="S71" s="2">
        <v>1377</v>
      </c>
      <c r="T71" s="57">
        <v>4310</v>
      </c>
      <c r="U71" s="35"/>
      <c r="V71" s="2"/>
      <c r="W71" s="57">
        <f>3510+1290</f>
        <v>4800</v>
      </c>
      <c r="X71" s="35">
        <v>24624</v>
      </c>
      <c r="Y71" s="2"/>
      <c r="Z71" s="22">
        <f>Z70</f>
        <v>8353</v>
      </c>
      <c r="AA71" s="86">
        <f>B71+C71+D71+X71+Y71+Z71</f>
        <v>220012.5</v>
      </c>
      <c r="AB71" s="31"/>
      <c r="AC71" s="106">
        <f>AA71+AB71</f>
        <v>220012.5</v>
      </c>
      <c r="AD71" s="74"/>
    </row>
    <row r="72" spans="1:29" ht="12.75">
      <c r="A72" s="17"/>
      <c r="B72" s="121"/>
      <c r="C72" s="39"/>
      <c r="D72" s="80">
        <f t="shared" si="6"/>
        <v>0</v>
      </c>
      <c r="E72" s="30"/>
      <c r="F72" s="17"/>
      <c r="G72" s="2"/>
      <c r="H72" s="2"/>
      <c r="I72" s="2"/>
      <c r="J72" s="2"/>
      <c r="K72" s="2"/>
      <c r="L72" s="2"/>
      <c r="M72" s="2"/>
      <c r="N72" s="2"/>
      <c r="O72" s="21"/>
      <c r="P72" s="113">
        <f>Q72+R72+S72+T72</f>
        <v>0</v>
      </c>
      <c r="Q72" s="35"/>
      <c r="R72" s="2"/>
      <c r="S72" s="2"/>
      <c r="T72" s="57"/>
      <c r="U72" s="35"/>
      <c r="V72" s="2"/>
      <c r="W72" s="57"/>
      <c r="X72" s="35"/>
      <c r="Y72" s="2"/>
      <c r="Z72" s="21"/>
      <c r="AA72" s="88"/>
      <c r="AB72" s="30"/>
      <c r="AC72" s="105"/>
    </row>
    <row r="73" spans="1:29" ht="12.75">
      <c r="A73" s="18" t="s">
        <v>33</v>
      </c>
      <c r="B73" s="121"/>
      <c r="C73" s="39"/>
      <c r="D73" s="80">
        <f t="shared" si="6"/>
        <v>0</v>
      </c>
      <c r="E73" s="30"/>
      <c r="F73" s="17"/>
      <c r="G73" s="2"/>
      <c r="H73" s="2"/>
      <c r="I73" s="2"/>
      <c r="J73" s="2"/>
      <c r="K73" s="2"/>
      <c r="L73" s="2"/>
      <c r="M73" s="2"/>
      <c r="N73" s="2"/>
      <c r="O73" s="21"/>
      <c r="P73" s="113"/>
      <c r="Q73" s="35"/>
      <c r="R73" s="2"/>
      <c r="S73" s="2"/>
      <c r="T73" s="57"/>
      <c r="U73" s="35"/>
      <c r="V73" s="2"/>
      <c r="W73" s="57"/>
      <c r="X73" s="35"/>
      <c r="Y73" s="2"/>
      <c r="Z73" s="21"/>
      <c r="AA73" s="86"/>
      <c r="AB73" s="25"/>
      <c r="AC73" s="103"/>
    </row>
    <row r="74" spans="1:29" ht="12.75">
      <c r="A74" s="15" t="s">
        <v>52</v>
      </c>
      <c r="B74" s="121">
        <v>113638</v>
      </c>
      <c r="C74" s="39">
        <v>34156</v>
      </c>
      <c r="D74" s="80">
        <f t="shared" si="6"/>
        <v>25098</v>
      </c>
      <c r="E74" s="32"/>
      <c r="F74" s="58"/>
      <c r="G74" s="2">
        <v>1200</v>
      </c>
      <c r="H74" s="2">
        <v>2654</v>
      </c>
      <c r="I74" s="2"/>
      <c r="J74" s="2"/>
      <c r="K74" s="2"/>
      <c r="L74" s="2">
        <v>2800</v>
      </c>
      <c r="M74" s="2"/>
      <c r="N74" s="2"/>
      <c r="O74" s="21">
        <v>140</v>
      </c>
      <c r="P74" s="113">
        <f>Q74+R74+S74+T74</f>
        <v>13249</v>
      </c>
      <c r="Q74" s="35">
        <v>7472</v>
      </c>
      <c r="R74" s="2">
        <v>5350</v>
      </c>
      <c r="S74" s="2">
        <v>427</v>
      </c>
      <c r="T74" s="57"/>
      <c r="U74" s="35"/>
      <c r="V74" s="2"/>
      <c r="W74" s="57">
        <f>3155+1900</f>
        <v>5055</v>
      </c>
      <c r="X74" s="35">
        <v>12768</v>
      </c>
      <c r="Y74" s="2"/>
      <c r="Z74" s="21">
        <v>4668</v>
      </c>
      <c r="AA74" s="86">
        <f>B74+C74+D74+X74+Y74+Z74</f>
        <v>190328</v>
      </c>
      <c r="AB74" s="31"/>
      <c r="AC74" s="103">
        <f aca="true" t="shared" si="7" ref="AC74:AC81">AA74+AB74</f>
        <v>190328</v>
      </c>
    </row>
    <row r="75" spans="1:29" ht="12.75">
      <c r="A75" s="15" t="s">
        <v>53</v>
      </c>
      <c r="B75" s="122">
        <v>147023</v>
      </c>
      <c r="C75" s="26">
        <v>2273</v>
      </c>
      <c r="D75" s="80">
        <f t="shared" si="6"/>
        <v>38748</v>
      </c>
      <c r="E75" s="32"/>
      <c r="F75" s="58"/>
      <c r="G75" s="7">
        <v>1284</v>
      </c>
      <c r="H75" s="7">
        <v>10719</v>
      </c>
      <c r="I75" s="5"/>
      <c r="J75" s="5"/>
      <c r="K75" s="7"/>
      <c r="L75" s="7">
        <f>3757+577</f>
        <v>4334</v>
      </c>
      <c r="M75" s="7"/>
      <c r="N75" s="5"/>
      <c r="O75" s="22">
        <v>270</v>
      </c>
      <c r="P75" s="113">
        <f>Q75+R75+S75+T75</f>
        <v>18081</v>
      </c>
      <c r="Q75" s="37">
        <v>10260</v>
      </c>
      <c r="R75" s="7">
        <v>7073</v>
      </c>
      <c r="S75" s="7">
        <v>748</v>
      </c>
      <c r="T75" s="69"/>
      <c r="U75" s="37"/>
      <c r="V75" s="7"/>
      <c r="W75" s="56">
        <v>4060</v>
      </c>
      <c r="X75" s="37">
        <v>12768</v>
      </c>
      <c r="Y75" s="7"/>
      <c r="Z75" s="22">
        <v>3392</v>
      </c>
      <c r="AA75" s="86">
        <f>B75+C75+D75+X75+Y75+Z75</f>
        <v>204204</v>
      </c>
      <c r="AB75" s="31"/>
      <c r="AC75" s="103">
        <f t="shared" si="7"/>
        <v>204204</v>
      </c>
    </row>
    <row r="76" spans="1:30" ht="12.75">
      <c r="A76" s="15" t="s">
        <v>25</v>
      </c>
      <c r="B76" s="72">
        <f>B75*97/100+1357+1751+1692-480</f>
        <v>146932.31</v>
      </c>
      <c r="C76" s="12">
        <f>C75*97/100+20+25+24-7</f>
        <v>2266.81</v>
      </c>
      <c r="D76" s="80">
        <f t="shared" si="6"/>
        <v>30044.95</v>
      </c>
      <c r="E76" s="32"/>
      <c r="F76" s="58"/>
      <c r="G76" s="7">
        <v>1200</v>
      </c>
      <c r="H76" s="7">
        <v>2654</v>
      </c>
      <c r="I76" s="5"/>
      <c r="J76" s="5"/>
      <c r="K76" s="7"/>
      <c r="L76" s="7">
        <v>2800</v>
      </c>
      <c r="M76" s="5"/>
      <c r="N76" s="5"/>
      <c r="O76" s="22">
        <v>140</v>
      </c>
      <c r="P76" s="113">
        <f>Q76+R76+S76+T76</f>
        <v>18195.95</v>
      </c>
      <c r="Q76" s="42">
        <v>8380</v>
      </c>
      <c r="R76" s="7">
        <f>R75*1.15</f>
        <v>8133.95</v>
      </c>
      <c r="S76" s="7">
        <v>660</v>
      </c>
      <c r="T76" s="56">
        <v>1022</v>
      </c>
      <c r="U76" s="37"/>
      <c r="V76" s="7"/>
      <c r="W76" s="56">
        <f>3155+1900</f>
        <v>5055</v>
      </c>
      <c r="X76" s="37">
        <v>11856</v>
      </c>
      <c r="Y76" s="7"/>
      <c r="Z76" s="22">
        <f>Z75</f>
        <v>3392</v>
      </c>
      <c r="AA76" s="86">
        <f>B76+C76+D76+X76+Y76+Z76</f>
        <v>194492.07</v>
      </c>
      <c r="AB76" s="32"/>
      <c r="AC76" s="104">
        <f t="shared" si="7"/>
        <v>194492.07</v>
      </c>
      <c r="AD76" s="74"/>
    </row>
    <row r="77" spans="1:29" ht="12.75">
      <c r="A77" s="17"/>
      <c r="B77" s="121"/>
      <c r="C77" s="39"/>
      <c r="D77" s="80">
        <f t="shared" si="6"/>
        <v>0</v>
      </c>
      <c r="E77" s="30"/>
      <c r="F77" s="17"/>
      <c r="G77" s="2"/>
      <c r="H77" s="2"/>
      <c r="I77" s="2"/>
      <c r="J77" s="2"/>
      <c r="K77" s="2"/>
      <c r="L77" s="2"/>
      <c r="M77" s="2"/>
      <c r="N77" s="2"/>
      <c r="O77" s="21"/>
      <c r="P77" s="114"/>
      <c r="Q77" s="35"/>
      <c r="R77" s="2"/>
      <c r="S77" s="2"/>
      <c r="T77" s="57"/>
      <c r="U77" s="35"/>
      <c r="V77" s="2"/>
      <c r="W77" s="57"/>
      <c r="X77" s="35"/>
      <c r="Y77" s="2"/>
      <c r="Z77" s="21"/>
      <c r="AA77" s="88"/>
      <c r="AB77" s="30"/>
      <c r="AC77" s="103">
        <f t="shared" si="7"/>
        <v>0</v>
      </c>
    </row>
    <row r="78" spans="1:29" ht="12.75">
      <c r="A78" s="18" t="s">
        <v>34</v>
      </c>
      <c r="B78" s="121"/>
      <c r="C78" s="39"/>
      <c r="D78" s="80">
        <f t="shared" si="6"/>
        <v>0</v>
      </c>
      <c r="E78" s="30"/>
      <c r="F78" s="17"/>
      <c r="G78" s="2"/>
      <c r="H78" s="2"/>
      <c r="I78" s="2"/>
      <c r="J78" s="2"/>
      <c r="K78" s="2"/>
      <c r="L78" s="2"/>
      <c r="M78" s="2"/>
      <c r="N78" s="2"/>
      <c r="O78" s="21"/>
      <c r="P78" s="113"/>
      <c r="Q78" s="35"/>
      <c r="R78" s="2"/>
      <c r="S78" s="2"/>
      <c r="T78" s="57"/>
      <c r="U78" s="35"/>
      <c r="V78" s="2"/>
      <c r="W78" s="57"/>
      <c r="X78" s="35"/>
      <c r="Y78" s="2"/>
      <c r="Z78" s="21"/>
      <c r="AA78" s="86"/>
      <c r="AB78" s="30"/>
      <c r="AC78" s="103"/>
    </row>
    <row r="79" spans="1:29" ht="12.75">
      <c r="A79" s="15" t="s">
        <v>52</v>
      </c>
      <c r="B79" s="121">
        <v>133625</v>
      </c>
      <c r="C79" s="39">
        <v>40627</v>
      </c>
      <c r="D79" s="80">
        <f t="shared" si="6"/>
        <v>33834</v>
      </c>
      <c r="E79" s="30"/>
      <c r="F79" s="17"/>
      <c r="G79" s="2">
        <v>2510</v>
      </c>
      <c r="H79" s="2">
        <v>2265</v>
      </c>
      <c r="I79" s="2"/>
      <c r="J79" s="2"/>
      <c r="K79" s="2"/>
      <c r="L79" s="2">
        <v>3003</v>
      </c>
      <c r="M79" s="2"/>
      <c r="N79" s="2"/>
      <c r="O79" s="21">
        <v>100</v>
      </c>
      <c r="P79" s="113">
        <f>Q79+R79+S79+T79</f>
        <v>23906</v>
      </c>
      <c r="Q79" s="35">
        <v>16337</v>
      </c>
      <c r="R79" s="2">
        <v>6941</v>
      </c>
      <c r="S79" s="2">
        <v>628</v>
      </c>
      <c r="T79" s="57"/>
      <c r="U79" s="35"/>
      <c r="V79" s="2"/>
      <c r="W79" s="57">
        <f>1750+300</f>
        <v>2050</v>
      </c>
      <c r="X79" s="35">
        <v>13376</v>
      </c>
      <c r="Y79" s="2"/>
      <c r="Z79" s="21">
        <v>4074</v>
      </c>
      <c r="AA79" s="86">
        <f>B79+C79+D79+X79+Y79+Z79</f>
        <v>225536</v>
      </c>
      <c r="AB79" s="30"/>
      <c r="AC79" s="103">
        <f>AA79+AB79</f>
        <v>225536</v>
      </c>
    </row>
    <row r="80" spans="1:29" ht="12.75">
      <c r="A80" s="15" t="s">
        <v>53</v>
      </c>
      <c r="B80" s="122">
        <v>176410</v>
      </c>
      <c r="C80" s="26">
        <v>2902</v>
      </c>
      <c r="D80" s="80">
        <f>E80+F80+G80+H80+I80+J80+K80+L80+N80+O80+P80+W80+V80</f>
        <v>64947</v>
      </c>
      <c r="E80" s="30"/>
      <c r="F80" s="17"/>
      <c r="G80" s="2">
        <v>2391</v>
      </c>
      <c r="H80" s="7">
        <v>5658</v>
      </c>
      <c r="I80" s="2"/>
      <c r="J80" s="2"/>
      <c r="K80" s="2"/>
      <c r="L80" s="2">
        <f>8903+3718</f>
        <v>12621</v>
      </c>
      <c r="M80" s="2"/>
      <c r="N80" s="2"/>
      <c r="O80" s="21">
        <v>390</v>
      </c>
      <c r="P80" s="113">
        <f>Q80+R80+S80+T80</f>
        <v>39592</v>
      </c>
      <c r="Q80" s="35">
        <v>28912</v>
      </c>
      <c r="R80" s="2">
        <v>10003</v>
      </c>
      <c r="S80" s="7">
        <v>677</v>
      </c>
      <c r="T80" s="61"/>
      <c r="U80" s="35"/>
      <c r="V80" s="2">
        <v>100</v>
      </c>
      <c r="W80" s="57">
        <f>3795+400</f>
        <v>4195</v>
      </c>
      <c r="X80" s="35">
        <v>12160</v>
      </c>
      <c r="Y80" s="2"/>
      <c r="Z80" s="22">
        <v>4240</v>
      </c>
      <c r="AA80" s="86">
        <f>B80+C80+D80+X80+Y80+Z80</f>
        <v>260659</v>
      </c>
      <c r="AB80" s="31">
        <v>1105</v>
      </c>
      <c r="AC80" s="105">
        <f t="shared" si="7"/>
        <v>261764</v>
      </c>
    </row>
    <row r="81" spans="1:30" ht="12.75">
      <c r="A81" s="15" t="s">
        <v>25</v>
      </c>
      <c r="B81" s="72">
        <f>B80*97/100+1490+3546+1853+120</f>
        <v>178126.7</v>
      </c>
      <c r="C81" s="12">
        <f>C80*97/100+22+51+27+2</f>
        <v>2916.94</v>
      </c>
      <c r="D81" s="80">
        <f aca="true" t="shared" si="8" ref="D81:D118">E81+F81+G81+H81+I81+J81+K81+L81+N81+O81+P81+W81</f>
        <v>48367.45</v>
      </c>
      <c r="E81" s="30"/>
      <c r="F81" s="17"/>
      <c r="G81" s="2">
        <v>2510</v>
      </c>
      <c r="H81" s="2">
        <v>2265</v>
      </c>
      <c r="I81" s="2"/>
      <c r="J81" s="2"/>
      <c r="K81" s="2"/>
      <c r="L81" s="2">
        <v>3003</v>
      </c>
      <c r="M81" s="2"/>
      <c r="N81" s="2"/>
      <c r="O81" s="21">
        <v>100</v>
      </c>
      <c r="P81" s="113">
        <f>Q81+R81+S81+T81</f>
        <v>38439.45</v>
      </c>
      <c r="Q81" s="35">
        <v>24244</v>
      </c>
      <c r="R81" s="7">
        <f>R80*1.15</f>
        <v>11503.449999999999</v>
      </c>
      <c r="S81" s="2">
        <v>677</v>
      </c>
      <c r="T81" s="57">
        <v>2015</v>
      </c>
      <c r="U81" s="35"/>
      <c r="V81" s="2"/>
      <c r="W81" s="57">
        <f>1750+300</f>
        <v>2050</v>
      </c>
      <c r="X81" s="35">
        <v>11856</v>
      </c>
      <c r="Y81" s="2"/>
      <c r="Z81" s="22">
        <f>Z80</f>
        <v>4240</v>
      </c>
      <c r="AA81" s="86">
        <f>B81+C81+D81+X81+Y81+Z81</f>
        <v>245507.09000000003</v>
      </c>
      <c r="AB81" s="32"/>
      <c r="AC81" s="106">
        <f t="shared" si="7"/>
        <v>245507.09000000003</v>
      </c>
      <c r="AD81" s="74"/>
    </row>
    <row r="82" spans="1:29" ht="12.75">
      <c r="A82" s="17"/>
      <c r="B82" s="121"/>
      <c r="C82" s="39"/>
      <c r="D82" s="80">
        <f t="shared" si="8"/>
        <v>0</v>
      </c>
      <c r="E82" s="30"/>
      <c r="F82" s="17"/>
      <c r="G82" s="2"/>
      <c r="H82" s="2"/>
      <c r="I82" s="2"/>
      <c r="J82" s="2"/>
      <c r="K82" s="2"/>
      <c r="L82" s="2"/>
      <c r="M82" s="2"/>
      <c r="N82" s="2"/>
      <c r="O82" s="21"/>
      <c r="P82" s="114"/>
      <c r="Q82" s="35"/>
      <c r="R82" s="2"/>
      <c r="S82" s="2"/>
      <c r="T82" s="57"/>
      <c r="U82" s="35"/>
      <c r="V82" s="2"/>
      <c r="W82" s="57"/>
      <c r="X82" s="35"/>
      <c r="Y82" s="2"/>
      <c r="Z82" s="21"/>
      <c r="AA82" s="88"/>
      <c r="AB82" s="30"/>
      <c r="AC82" s="105"/>
    </row>
    <row r="83" spans="1:29" ht="12.75">
      <c r="A83" s="18" t="s">
        <v>35</v>
      </c>
      <c r="B83" s="121"/>
      <c r="C83" s="39"/>
      <c r="D83" s="80">
        <f t="shared" si="8"/>
        <v>0</v>
      </c>
      <c r="E83" s="30"/>
      <c r="F83" s="17"/>
      <c r="G83" s="2"/>
      <c r="H83" s="2"/>
      <c r="I83" s="2"/>
      <c r="J83" s="2"/>
      <c r="K83" s="2"/>
      <c r="L83" s="2"/>
      <c r="M83" s="2"/>
      <c r="N83" s="2"/>
      <c r="O83" s="21"/>
      <c r="P83" s="114"/>
      <c r="Q83" s="35"/>
      <c r="R83" s="2"/>
      <c r="S83" s="2"/>
      <c r="T83" s="57"/>
      <c r="U83" s="35"/>
      <c r="V83" s="2"/>
      <c r="W83" s="57"/>
      <c r="X83" s="35"/>
      <c r="Y83" s="2"/>
      <c r="Z83" s="21"/>
      <c r="AA83" s="88"/>
      <c r="AB83" s="30"/>
      <c r="AC83" s="105"/>
    </row>
    <row r="84" spans="1:29" ht="12.75">
      <c r="A84" s="15" t="s">
        <v>52</v>
      </c>
      <c r="B84" s="122">
        <v>69865</v>
      </c>
      <c r="C84" s="26">
        <v>21737</v>
      </c>
      <c r="D84" s="80">
        <f t="shared" si="8"/>
        <v>5794</v>
      </c>
      <c r="E84" s="30"/>
      <c r="F84" s="17"/>
      <c r="G84" s="2">
        <v>1259</v>
      </c>
      <c r="H84" s="7">
        <v>800</v>
      </c>
      <c r="I84" s="2"/>
      <c r="J84" s="2"/>
      <c r="K84" s="2"/>
      <c r="L84" s="7">
        <v>100</v>
      </c>
      <c r="M84" s="7"/>
      <c r="N84" s="2"/>
      <c r="O84" s="21"/>
      <c r="P84" s="113">
        <f>Q84+R84+S84+T84</f>
        <v>1877</v>
      </c>
      <c r="Q84" s="37">
        <v>300</v>
      </c>
      <c r="R84" s="2">
        <v>1457</v>
      </c>
      <c r="S84" s="2">
        <v>120</v>
      </c>
      <c r="T84" s="57"/>
      <c r="U84" s="35"/>
      <c r="V84" s="2"/>
      <c r="W84" s="57">
        <f>1575+183</f>
        <v>1758</v>
      </c>
      <c r="X84" s="37">
        <v>6080</v>
      </c>
      <c r="Y84" s="7"/>
      <c r="Z84" s="22">
        <v>3756</v>
      </c>
      <c r="AA84" s="86">
        <f>B84+C84+D84+X84+Y84+Z84</f>
        <v>107232</v>
      </c>
      <c r="AB84" s="31"/>
      <c r="AC84" s="106">
        <f>AA84+AB84</f>
        <v>107232</v>
      </c>
    </row>
    <row r="85" spans="1:29" ht="12.75">
      <c r="A85" s="15" t="s">
        <v>53</v>
      </c>
      <c r="B85" s="120">
        <v>97028</v>
      </c>
      <c r="C85" s="26">
        <v>1690</v>
      </c>
      <c r="D85" s="80">
        <f t="shared" si="8"/>
        <v>13456</v>
      </c>
      <c r="E85" s="30"/>
      <c r="F85" s="17"/>
      <c r="G85" s="2">
        <v>1220</v>
      </c>
      <c r="H85" s="7">
        <v>2189</v>
      </c>
      <c r="I85" s="2"/>
      <c r="J85" s="2"/>
      <c r="K85" s="2"/>
      <c r="L85" s="7">
        <v>3411</v>
      </c>
      <c r="M85" s="7"/>
      <c r="N85" s="2"/>
      <c r="O85" s="21">
        <v>250</v>
      </c>
      <c r="P85" s="113">
        <f>Q85+R85+S85+T85</f>
        <v>2676</v>
      </c>
      <c r="Q85" s="35">
        <v>409</v>
      </c>
      <c r="R85" s="2">
        <v>2095</v>
      </c>
      <c r="S85" s="2">
        <v>172</v>
      </c>
      <c r="T85" s="57"/>
      <c r="U85" s="35"/>
      <c r="V85" s="2"/>
      <c r="W85" s="57">
        <f>2510+1200</f>
        <v>3710</v>
      </c>
      <c r="X85" s="37">
        <v>6080</v>
      </c>
      <c r="Y85" s="7"/>
      <c r="Z85" s="22">
        <v>4562</v>
      </c>
      <c r="AA85" s="86">
        <f>B85+C85+D85+X85+Y85+Z85</f>
        <v>122816</v>
      </c>
      <c r="AB85" s="30">
        <v>2600</v>
      </c>
      <c r="AC85" s="106">
        <f>AA85+AB85</f>
        <v>125416</v>
      </c>
    </row>
    <row r="86" spans="1:30" ht="12.75">
      <c r="A86" s="15" t="s">
        <v>25</v>
      </c>
      <c r="B86" s="72">
        <f>B85*97/100+834+975+2014-768</f>
        <v>97172.16</v>
      </c>
      <c r="C86" s="12">
        <f>C85*97/100+12+14+29-11</f>
        <v>1683.3</v>
      </c>
      <c r="D86" s="80">
        <f t="shared" si="8"/>
        <v>7119</v>
      </c>
      <c r="E86" s="30"/>
      <c r="F86" s="17"/>
      <c r="G86" s="11">
        <v>1220</v>
      </c>
      <c r="H86" s="7">
        <v>800</v>
      </c>
      <c r="I86" s="2"/>
      <c r="J86" s="2"/>
      <c r="K86" s="2"/>
      <c r="L86" s="11">
        <v>100</v>
      </c>
      <c r="M86" s="2"/>
      <c r="N86" s="2"/>
      <c r="O86" s="21"/>
      <c r="P86" s="113">
        <f>Q86+R86+S86+T86</f>
        <v>3241</v>
      </c>
      <c r="Q86" s="41">
        <v>148</v>
      </c>
      <c r="R86" s="7">
        <v>2305</v>
      </c>
      <c r="S86" s="2">
        <v>127</v>
      </c>
      <c r="T86" s="57">
        <v>661</v>
      </c>
      <c r="U86" s="35"/>
      <c r="V86" s="2"/>
      <c r="W86" s="57">
        <f>1575+183</f>
        <v>1758</v>
      </c>
      <c r="X86" s="37">
        <v>5776</v>
      </c>
      <c r="Y86" s="2"/>
      <c r="Z86" s="22">
        <f>Z85</f>
        <v>4562</v>
      </c>
      <c r="AA86" s="86">
        <f>B86+C86+D86+X86+Y86+Z86</f>
        <v>116312.46</v>
      </c>
      <c r="AB86" s="30"/>
      <c r="AC86" s="106">
        <f>AA86+AB86</f>
        <v>116312.46</v>
      </c>
      <c r="AD86" s="74"/>
    </row>
    <row r="87" spans="1:29" ht="12.75">
      <c r="A87" s="17"/>
      <c r="B87" s="121"/>
      <c r="C87" s="39"/>
      <c r="D87" s="80">
        <f t="shared" si="8"/>
        <v>0</v>
      </c>
      <c r="E87" s="30"/>
      <c r="F87" s="17"/>
      <c r="G87" s="2"/>
      <c r="H87" s="2"/>
      <c r="I87" s="2"/>
      <c r="J87" s="2"/>
      <c r="K87" s="2"/>
      <c r="L87" s="2"/>
      <c r="M87" s="2"/>
      <c r="N87" s="2"/>
      <c r="O87" s="21"/>
      <c r="P87" s="114"/>
      <c r="Q87" s="35"/>
      <c r="R87" s="2"/>
      <c r="S87" s="2"/>
      <c r="T87" s="57"/>
      <c r="U87" s="35"/>
      <c r="V87" s="2"/>
      <c r="W87" s="57"/>
      <c r="X87" s="35"/>
      <c r="Y87" s="2"/>
      <c r="Z87" s="21"/>
      <c r="AA87" s="88"/>
      <c r="AB87" s="30"/>
      <c r="AC87" s="105"/>
    </row>
    <row r="88" spans="1:29" ht="12.75">
      <c r="A88" s="18" t="s">
        <v>36</v>
      </c>
      <c r="B88" s="121"/>
      <c r="C88" s="39"/>
      <c r="D88" s="80">
        <f t="shared" si="8"/>
        <v>0</v>
      </c>
      <c r="E88" s="30"/>
      <c r="F88" s="17"/>
      <c r="G88" s="2"/>
      <c r="H88" s="2"/>
      <c r="I88" s="2"/>
      <c r="J88" s="2"/>
      <c r="K88" s="2"/>
      <c r="L88" s="2"/>
      <c r="M88" s="2"/>
      <c r="N88" s="2"/>
      <c r="O88" s="21"/>
      <c r="P88" s="114"/>
      <c r="Q88" s="35"/>
      <c r="R88" s="2"/>
      <c r="S88" s="2"/>
      <c r="T88" s="57"/>
      <c r="U88" s="35"/>
      <c r="V88" s="2"/>
      <c r="W88" s="57"/>
      <c r="X88" s="35"/>
      <c r="Y88" s="2"/>
      <c r="Z88" s="21"/>
      <c r="AA88" s="88"/>
      <c r="AB88" s="30"/>
      <c r="AC88" s="105"/>
    </row>
    <row r="89" spans="1:29" ht="12.75">
      <c r="A89" s="15" t="s">
        <v>52</v>
      </c>
      <c r="B89" s="120">
        <v>84596</v>
      </c>
      <c r="C89" s="39">
        <v>23984</v>
      </c>
      <c r="D89" s="80">
        <f t="shared" si="8"/>
        <v>16703</v>
      </c>
      <c r="E89" s="30"/>
      <c r="F89" s="17"/>
      <c r="G89" s="2">
        <v>1928</v>
      </c>
      <c r="H89" s="7">
        <v>2421</v>
      </c>
      <c r="I89" s="2"/>
      <c r="J89" s="2"/>
      <c r="K89" s="2"/>
      <c r="L89" s="2">
        <v>3440</v>
      </c>
      <c r="M89" s="2"/>
      <c r="N89" s="2"/>
      <c r="O89" s="21">
        <v>150</v>
      </c>
      <c r="P89" s="113">
        <f>Q89+R89+S89+T89</f>
        <v>5516</v>
      </c>
      <c r="Q89" s="37">
        <v>2372</v>
      </c>
      <c r="R89" s="7">
        <v>2920</v>
      </c>
      <c r="S89" s="2">
        <v>224</v>
      </c>
      <c r="T89" s="57"/>
      <c r="U89" s="35"/>
      <c r="V89" s="2"/>
      <c r="W89" s="56">
        <f>1388+1860</f>
        <v>3248</v>
      </c>
      <c r="X89" s="35">
        <v>10032</v>
      </c>
      <c r="Y89" s="2"/>
      <c r="Z89" s="21">
        <v>2056</v>
      </c>
      <c r="AA89" s="88">
        <f>B89+C89+D89+X89+Y89+Z89</f>
        <v>137371</v>
      </c>
      <c r="AB89" s="30"/>
      <c r="AC89" s="105">
        <f>AA89+AB89</f>
        <v>137371</v>
      </c>
    </row>
    <row r="90" spans="1:29" ht="12.75">
      <c r="A90" s="15" t="s">
        <v>53</v>
      </c>
      <c r="B90" s="120">
        <v>112424</v>
      </c>
      <c r="C90" s="26">
        <v>1630</v>
      </c>
      <c r="D90" s="80">
        <f t="shared" si="8"/>
        <v>30310</v>
      </c>
      <c r="E90" s="30"/>
      <c r="F90" s="17"/>
      <c r="G90" s="2">
        <v>2076</v>
      </c>
      <c r="H90" s="7">
        <v>8496</v>
      </c>
      <c r="I90" s="2"/>
      <c r="J90" s="2"/>
      <c r="K90" s="5"/>
      <c r="L90" s="2">
        <v>3460</v>
      </c>
      <c r="M90" s="2"/>
      <c r="N90" s="2"/>
      <c r="O90" s="21">
        <v>500</v>
      </c>
      <c r="P90" s="113">
        <f>Q90+R90+S90+T90</f>
        <v>7073</v>
      </c>
      <c r="Q90" s="37">
        <v>3464</v>
      </c>
      <c r="R90" s="7">
        <v>3309</v>
      </c>
      <c r="S90" s="2">
        <v>300</v>
      </c>
      <c r="T90" s="57"/>
      <c r="U90" s="35"/>
      <c r="V90" s="2"/>
      <c r="W90" s="57">
        <v>8705</v>
      </c>
      <c r="X90" s="35">
        <v>9120</v>
      </c>
      <c r="Y90" s="2"/>
      <c r="Z90" s="21"/>
      <c r="AA90" s="88">
        <f>B90+C90+D90+X90+Y90+Z90</f>
        <v>153484</v>
      </c>
      <c r="AB90" s="31">
        <v>14500</v>
      </c>
      <c r="AC90" s="106">
        <f>AA90+AB90</f>
        <v>167984</v>
      </c>
    </row>
    <row r="91" spans="1:30" ht="12.75">
      <c r="A91" s="15" t="s">
        <v>25</v>
      </c>
      <c r="B91" s="72">
        <f>B90*97/100+1065+1444+2377+886</f>
        <v>114823.28</v>
      </c>
      <c r="C91" s="12">
        <f>C90*97/100+15+21+35+13</f>
        <v>1665.1</v>
      </c>
      <c r="D91" s="80">
        <f t="shared" si="8"/>
        <v>16306.35</v>
      </c>
      <c r="E91" s="30"/>
      <c r="F91" s="17"/>
      <c r="G91" s="2">
        <v>1928</v>
      </c>
      <c r="H91" s="2">
        <v>2421</v>
      </c>
      <c r="I91" s="2"/>
      <c r="J91" s="2"/>
      <c r="K91" s="2"/>
      <c r="L91" s="2">
        <v>3440</v>
      </c>
      <c r="M91" s="2"/>
      <c r="N91" s="2"/>
      <c r="O91" s="21">
        <v>150</v>
      </c>
      <c r="P91" s="113">
        <f>Q91+R91+S91+T91</f>
        <v>6979.35</v>
      </c>
      <c r="Q91" s="37">
        <v>2987</v>
      </c>
      <c r="R91" s="12">
        <f>R90*1.15</f>
        <v>3805.35</v>
      </c>
      <c r="S91" s="2">
        <v>187</v>
      </c>
      <c r="T91" s="57"/>
      <c r="U91" s="35"/>
      <c r="V91" s="2"/>
      <c r="W91" s="57">
        <v>1388</v>
      </c>
      <c r="X91" s="35">
        <v>8208</v>
      </c>
      <c r="Y91" s="2"/>
      <c r="Z91" s="26"/>
      <c r="AA91" s="86">
        <f>B91+C91+D91+X91+Y91+Z91-1</f>
        <v>141001.73</v>
      </c>
      <c r="AB91" s="31"/>
      <c r="AC91" s="106">
        <f>AA91+AB91</f>
        <v>141001.73</v>
      </c>
      <c r="AD91" s="74"/>
    </row>
    <row r="92" spans="1:29" ht="12.75">
      <c r="A92" s="17"/>
      <c r="B92" s="121"/>
      <c r="C92" s="39"/>
      <c r="D92" s="80">
        <f t="shared" si="8"/>
        <v>0</v>
      </c>
      <c r="E92" s="30"/>
      <c r="F92" s="17"/>
      <c r="G92" s="2"/>
      <c r="H92" s="2"/>
      <c r="I92" s="2"/>
      <c r="J92" s="2"/>
      <c r="K92" s="2"/>
      <c r="L92" s="2"/>
      <c r="M92" s="2"/>
      <c r="N92" s="2"/>
      <c r="O92" s="21"/>
      <c r="P92" s="114"/>
      <c r="Q92" s="35"/>
      <c r="R92" s="2"/>
      <c r="S92" s="2"/>
      <c r="T92" s="57"/>
      <c r="U92" s="35"/>
      <c r="V92" s="2"/>
      <c r="W92" s="57"/>
      <c r="X92" s="35"/>
      <c r="Y92" s="2"/>
      <c r="Z92" s="21"/>
      <c r="AA92" s="88"/>
      <c r="AB92" s="30"/>
      <c r="AC92" s="105"/>
    </row>
    <row r="93" spans="1:29" ht="12.75">
      <c r="A93" s="18" t="s">
        <v>37</v>
      </c>
      <c r="B93" s="121"/>
      <c r="C93" s="39"/>
      <c r="D93" s="80">
        <f t="shared" si="8"/>
        <v>0</v>
      </c>
      <c r="E93" s="30"/>
      <c r="F93" s="17"/>
      <c r="G93" s="2"/>
      <c r="H93" s="2"/>
      <c r="I93" s="2"/>
      <c r="J93" s="2"/>
      <c r="K93" s="2"/>
      <c r="L93" s="2"/>
      <c r="M93" s="2"/>
      <c r="N93" s="2"/>
      <c r="O93" s="21"/>
      <c r="P93" s="114"/>
      <c r="Q93" s="35"/>
      <c r="R93" s="2"/>
      <c r="S93" s="2"/>
      <c r="T93" s="57"/>
      <c r="U93" s="35"/>
      <c r="V93" s="2"/>
      <c r="W93" s="57"/>
      <c r="X93" s="35"/>
      <c r="Y93" s="2"/>
      <c r="Z93" s="21"/>
      <c r="AA93" s="88"/>
      <c r="AB93" s="30"/>
      <c r="AC93" s="105"/>
    </row>
    <row r="94" spans="1:29" ht="12.75">
      <c r="A94" s="15" t="s">
        <v>52</v>
      </c>
      <c r="B94" s="122">
        <v>147219</v>
      </c>
      <c r="C94" s="39">
        <v>44546</v>
      </c>
      <c r="D94" s="80">
        <f t="shared" si="8"/>
        <v>45355</v>
      </c>
      <c r="E94" s="30"/>
      <c r="F94" s="17"/>
      <c r="G94" s="7">
        <v>3216</v>
      </c>
      <c r="H94" s="7">
        <v>3400</v>
      </c>
      <c r="I94" s="2"/>
      <c r="J94" s="2"/>
      <c r="K94" s="5"/>
      <c r="L94" s="7">
        <v>3636</v>
      </c>
      <c r="M94" s="7"/>
      <c r="N94" s="2"/>
      <c r="O94" s="21"/>
      <c r="P94" s="113">
        <f>Q94+R94+S94</f>
        <v>30195</v>
      </c>
      <c r="Q94" s="35">
        <v>21225</v>
      </c>
      <c r="R94" s="2">
        <v>8970</v>
      </c>
      <c r="S94" s="2"/>
      <c r="T94" s="57"/>
      <c r="U94" s="35"/>
      <c r="V94" s="2"/>
      <c r="W94" s="57">
        <f>3264+1644</f>
        <v>4908</v>
      </c>
      <c r="X94" s="37">
        <v>23712</v>
      </c>
      <c r="Y94" s="7"/>
      <c r="Z94" s="21">
        <v>7949</v>
      </c>
      <c r="AA94" s="86">
        <f>B94+C94+D94+X94+Y94+Z94</f>
        <v>268781</v>
      </c>
      <c r="AB94" s="30">
        <v>7000</v>
      </c>
      <c r="AC94" s="105">
        <f>AA94+AB94</f>
        <v>275781</v>
      </c>
    </row>
    <row r="95" spans="1:29" ht="12.75">
      <c r="A95" s="15" t="s">
        <v>53</v>
      </c>
      <c r="B95" s="122">
        <v>172206</v>
      </c>
      <c r="C95" s="26">
        <v>2571</v>
      </c>
      <c r="D95" s="80">
        <f t="shared" si="8"/>
        <v>83379</v>
      </c>
      <c r="E95" s="30"/>
      <c r="F95" s="17"/>
      <c r="G95" s="7">
        <v>2687</v>
      </c>
      <c r="H95" s="2">
        <v>5494</v>
      </c>
      <c r="I95" s="2"/>
      <c r="J95" s="2">
        <v>104</v>
      </c>
      <c r="K95" s="5"/>
      <c r="L95" s="7">
        <f>17381+9624</f>
        <v>27005</v>
      </c>
      <c r="M95" s="7"/>
      <c r="N95" s="2"/>
      <c r="O95" s="21"/>
      <c r="P95" s="113">
        <f>Q95+R95+S95+T95</f>
        <v>43687</v>
      </c>
      <c r="Q95" s="37">
        <v>27838</v>
      </c>
      <c r="R95" s="7">
        <v>15849</v>
      </c>
      <c r="S95" s="2"/>
      <c r="T95" s="61"/>
      <c r="U95" s="35"/>
      <c r="V95" s="2"/>
      <c r="W95" s="57">
        <f>3552+850</f>
        <v>4402</v>
      </c>
      <c r="X95" s="37">
        <v>21280</v>
      </c>
      <c r="Y95" s="7"/>
      <c r="Z95" s="22">
        <v>9483</v>
      </c>
      <c r="AA95" s="88">
        <f>B95+C95+D95+X95+Y95+Z95</f>
        <v>288919</v>
      </c>
      <c r="AB95" s="31">
        <v>1200</v>
      </c>
      <c r="AC95" s="105">
        <f>AA95+AB95</f>
        <v>290119</v>
      </c>
    </row>
    <row r="96" spans="1:30" ht="12.75">
      <c r="A96" s="15" t="s">
        <v>25</v>
      </c>
      <c r="B96" s="72">
        <f>B95*97/100+1436+2902+1933+120</f>
        <v>173430.82</v>
      </c>
      <c r="C96" s="12">
        <f>C95*97/100+21+42+28+2</f>
        <v>2586.87</v>
      </c>
      <c r="D96" s="80">
        <f t="shared" si="8"/>
        <v>53133</v>
      </c>
      <c r="E96" s="30"/>
      <c r="F96" s="17"/>
      <c r="G96" s="12">
        <v>2687</v>
      </c>
      <c r="H96" s="7">
        <v>4723</v>
      </c>
      <c r="I96" s="2"/>
      <c r="J96" s="2"/>
      <c r="K96" s="2"/>
      <c r="L96" s="2">
        <v>3636</v>
      </c>
      <c r="M96" s="2"/>
      <c r="N96" s="2"/>
      <c r="O96" s="21"/>
      <c r="P96" s="113">
        <f>Q96+R96+S96+T96</f>
        <v>37973</v>
      </c>
      <c r="Q96" s="41">
        <f>Q94</f>
        <v>21225</v>
      </c>
      <c r="R96" s="7">
        <v>12074</v>
      </c>
      <c r="S96" s="2">
        <v>239</v>
      </c>
      <c r="T96" s="57">
        <v>4435</v>
      </c>
      <c r="U96" s="35"/>
      <c r="V96" s="2"/>
      <c r="W96" s="57">
        <f>3264+850</f>
        <v>4114</v>
      </c>
      <c r="X96" s="37">
        <v>20064</v>
      </c>
      <c r="Y96" s="2"/>
      <c r="Z96" s="22">
        <f>Z95</f>
        <v>9483</v>
      </c>
      <c r="AA96" s="86">
        <f>B96+C96+D96+X96+Y96+Z96</f>
        <v>258697.69</v>
      </c>
      <c r="AB96" s="32"/>
      <c r="AC96" s="106">
        <f>AA96+AB96</f>
        <v>258697.69</v>
      </c>
      <c r="AD96" s="74"/>
    </row>
    <row r="97" spans="1:29" ht="12.75">
      <c r="A97" s="18"/>
      <c r="B97" s="121"/>
      <c r="C97" s="39"/>
      <c r="D97" s="80">
        <f t="shared" si="8"/>
        <v>0</v>
      </c>
      <c r="E97" s="30"/>
      <c r="F97" s="17"/>
      <c r="G97" s="2"/>
      <c r="H97" s="2"/>
      <c r="I97" s="2"/>
      <c r="J97" s="2"/>
      <c r="K97" s="2"/>
      <c r="L97" s="2"/>
      <c r="M97" s="2"/>
      <c r="N97" s="2"/>
      <c r="O97" s="21"/>
      <c r="P97" s="114"/>
      <c r="Q97" s="35"/>
      <c r="R97" s="2"/>
      <c r="S97" s="2"/>
      <c r="T97" s="57"/>
      <c r="U97" s="35"/>
      <c r="V97" s="2"/>
      <c r="W97" s="57"/>
      <c r="X97" s="35"/>
      <c r="Y97" s="2"/>
      <c r="Z97" s="21"/>
      <c r="AA97" s="88"/>
      <c r="AB97" s="30"/>
      <c r="AC97" s="105"/>
    </row>
    <row r="98" spans="1:29" ht="12.75">
      <c r="A98" s="18" t="s">
        <v>38</v>
      </c>
      <c r="B98" s="121"/>
      <c r="C98" s="39"/>
      <c r="D98" s="80">
        <f t="shared" si="8"/>
        <v>0</v>
      </c>
      <c r="E98" s="30"/>
      <c r="F98" s="17"/>
      <c r="G98" s="2"/>
      <c r="H98" s="2"/>
      <c r="I98" s="2"/>
      <c r="J98" s="2"/>
      <c r="K98" s="2"/>
      <c r="L98" s="2"/>
      <c r="M98" s="2"/>
      <c r="N98" s="2"/>
      <c r="O98" s="21"/>
      <c r="P98" s="114"/>
      <c r="Q98" s="35"/>
      <c r="R98" s="2"/>
      <c r="S98" s="2"/>
      <c r="T98" s="57"/>
      <c r="U98" s="35"/>
      <c r="V98" s="2"/>
      <c r="W98" s="57"/>
      <c r="X98" s="35"/>
      <c r="Y98" s="2"/>
      <c r="Z98" s="21"/>
      <c r="AA98" s="88"/>
      <c r="AB98" s="30"/>
      <c r="AC98" s="105"/>
    </row>
    <row r="99" spans="1:29" ht="12.75">
      <c r="A99" s="15" t="s">
        <v>52</v>
      </c>
      <c r="B99" s="120">
        <v>138214</v>
      </c>
      <c r="C99" s="39">
        <v>43538</v>
      </c>
      <c r="D99" s="80">
        <f t="shared" si="8"/>
        <v>32234</v>
      </c>
      <c r="E99" s="32"/>
      <c r="F99" s="17"/>
      <c r="G99" s="2">
        <v>1602</v>
      </c>
      <c r="H99" s="7">
        <v>4534</v>
      </c>
      <c r="I99" s="2"/>
      <c r="J99" s="2"/>
      <c r="K99" s="5"/>
      <c r="L99" s="7">
        <v>3780</v>
      </c>
      <c r="M99" s="7"/>
      <c r="N99" s="2"/>
      <c r="O99" s="21">
        <v>100</v>
      </c>
      <c r="P99" s="113">
        <f>Q99+R99+S99+T99</f>
        <v>19508</v>
      </c>
      <c r="Q99" s="41">
        <v>10781</v>
      </c>
      <c r="R99" s="7">
        <v>8127</v>
      </c>
      <c r="S99" s="2">
        <v>600</v>
      </c>
      <c r="T99" s="57"/>
      <c r="U99" s="35"/>
      <c r="V99" s="2"/>
      <c r="W99" s="57">
        <f>2060+650</f>
        <v>2710</v>
      </c>
      <c r="X99" s="35">
        <v>18544</v>
      </c>
      <c r="Y99" s="2"/>
      <c r="Z99" s="21"/>
      <c r="AA99" s="88">
        <f>B99+C99+D99+X99+Y99+Z99</f>
        <v>232530</v>
      </c>
      <c r="AB99" s="30"/>
      <c r="AC99" s="105">
        <f>AA99+AB99</f>
        <v>232530</v>
      </c>
    </row>
    <row r="100" spans="1:29" ht="12.75">
      <c r="A100" s="15" t="s">
        <v>53</v>
      </c>
      <c r="B100" s="120">
        <f>159276</f>
        <v>159276</v>
      </c>
      <c r="C100" s="26">
        <v>2459</v>
      </c>
      <c r="D100" s="80">
        <f t="shared" si="8"/>
        <v>60019</v>
      </c>
      <c r="E100" s="30"/>
      <c r="F100" s="17"/>
      <c r="G100" s="2">
        <v>1542</v>
      </c>
      <c r="H100" s="2">
        <v>12391</v>
      </c>
      <c r="I100" s="2"/>
      <c r="J100" s="2"/>
      <c r="K100" s="5"/>
      <c r="L100" s="2">
        <v>10321</v>
      </c>
      <c r="M100" s="2"/>
      <c r="N100" s="2"/>
      <c r="O100" s="22">
        <v>1000</v>
      </c>
      <c r="P100" s="113">
        <f>Q100+R100+S100+T100</f>
        <v>31574</v>
      </c>
      <c r="Q100" s="35">
        <v>21260</v>
      </c>
      <c r="R100" s="2">
        <v>9696</v>
      </c>
      <c r="S100" s="2">
        <v>618</v>
      </c>
      <c r="T100" s="57"/>
      <c r="U100" s="35"/>
      <c r="V100" s="2"/>
      <c r="W100" s="57">
        <v>3191</v>
      </c>
      <c r="X100" s="35">
        <v>18544</v>
      </c>
      <c r="Y100" s="5"/>
      <c r="Z100" s="21"/>
      <c r="AA100" s="88">
        <f>B100+C100+D100+X100+Y100+Z100</f>
        <v>240298</v>
      </c>
      <c r="AB100" s="30"/>
      <c r="AC100" s="105">
        <f>AA100+AB100</f>
        <v>240298</v>
      </c>
    </row>
    <row r="101" spans="1:30" ht="12.75">
      <c r="A101" s="15" t="s">
        <v>25</v>
      </c>
      <c r="B101" s="72">
        <f>B100*97/100+1281+1012+1611-576</f>
        <v>157825.72</v>
      </c>
      <c r="C101" s="12">
        <f>C100*97/100+19+15+23-8</f>
        <v>2434.23</v>
      </c>
      <c r="D101" s="80">
        <f t="shared" si="8"/>
        <v>40315</v>
      </c>
      <c r="E101" s="30"/>
      <c r="F101" s="17"/>
      <c r="G101" s="2">
        <v>1542</v>
      </c>
      <c r="H101" s="7">
        <v>4534</v>
      </c>
      <c r="I101" s="2"/>
      <c r="J101" s="2"/>
      <c r="K101" s="2"/>
      <c r="L101" s="2">
        <v>4430</v>
      </c>
      <c r="M101" s="2"/>
      <c r="N101" s="2"/>
      <c r="O101" s="21">
        <v>100</v>
      </c>
      <c r="P101" s="113">
        <f>Q101+R101+S101+T101</f>
        <v>27649</v>
      </c>
      <c r="Q101" s="41">
        <v>15563</v>
      </c>
      <c r="R101" s="7">
        <v>8800</v>
      </c>
      <c r="S101" s="2">
        <v>472</v>
      </c>
      <c r="T101" s="57">
        <v>2814</v>
      </c>
      <c r="U101" s="35"/>
      <c r="V101" s="2"/>
      <c r="W101" s="57">
        <v>2060</v>
      </c>
      <c r="X101" s="35">
        <v>17328</v>
      </c>
      <c r="Y101" s="2"/>
      <c r="Z101" s="21"/>
      <c r="AA101" s="86">
        <f>B101+C101+D101+X101+Y101+Z101</f>
        <v>217902.95</v>
      </c>
      <c r="AB101" s="32"/>
      <c r="AC101" s="106">
        <f>AA101+AB101</f>
        <v>217902.95</v>
      </c>
      <c r="AD101" s="74"/>
    </row>
    <row r="102" spans="1:29" ht="12.75">
      <c r="A102" s="18"/>
      <c r="B102" s="121"/>
      <c r="C102" s="39"/>
      <c r="D102" s="80">
        <f t="shared" si="8"/>
        <v>0</v>
      </c>
      <c r="E102" s="30"/>
      <c r="F102" s="17"/>
      <c r="G102" s="2"/>
      <c r="H102" s="2"/>
      <c r="I102" s="2"/>
      <c r="J102" s="2"/>
      <c r="K102" s="2"/>
      <c r="L102" s="2"/>
      <c r="M102" s="2"/>
      <c r="N102" s="2"/>
      <c r="O102" s="21"/>
      <c r="P102" s="114"/>
      <c r="Q102" s="35"/>
      <c r="R102" s="2"/>
      <c r="S102" s="2"/>
      <c r="T102" s="57"/>
      <c r="U102" s="35"/>
      <c r="V102" s="2"/>
      <c r="W102" s="57"/>
      <c r="X102" s="35"/>
      <c r="Y102" s="2"/>
      <c r="Z102" s="21"/>
      <c r="AA102" s="88"/>
      <c r="AB102" s="30"/>
      <c r="AC102" s="105"/>
    </row>
    <row r="103" spans="1:29" ht="12.75">
      <c r="A103" s="18" t="s">
        <v>39</v>
      </c>
      <c r="B103" s="121"/>
      <c r="C103" s="39"/>
      <c r="D103" s="80">
        <f t="shared" si="8"/>
        <v>0</v>
      </c>
      <c r="E103" s="30"/>
      <c r="F103" s="17"/>
      <c r="G103" s="2"/>
      <c r="H103" s="2"/>
      <c r="I103" s="2"/>
      <c r="J103" s="2"/>
      <c r="K103" s="2"/>
      <c r="L103" s="2"/>
      <c r="M103" s="2"/>
      <c r="N103" s="2"/>
      <c r="O103" s="21"/>
      <c r="P103" s="114"/>
      <c r="Q103" s="35"/>
      <c r="R103" s="2"/>
      <c r="S103" s="2"/>
      <c r="T103" s="57"/>
      <c r="U103" s="35"/>
      <c r="V103" s="2"/>
      <c r="W103" s="57"/>
      <c r="X103" s="35"/>
      <c r="Y103" s="2"/>
      <c r="Z103" s="21"/>
      <c r="AA103" s="88"/>
      <c r="AB103" s="30"/>
      <c r="AC103" s="105"/>
    </row>
    <row r="104" spans="1:29" ht="12.75">
      <c r="A104" s="15" t="s">
        <v>52</v>
      </c>
      <c r="B104" s="122">
        <v>69955</v>
      </c>
      <c r="C104" s="26">
        <v>20822</v>
      </c>
      <c r="D104" s="80">
        <f t="shared" si="8"/>
        <v>12664</v>
      </c>
      <c r="E104" s="32"/>
      <c r="F104" s="58"/>
      <c r="G104" s="7">
        <v>1140</v>
      </c>
      <c r="H104" s="7">
        <v>3490</v>
      </c>
      <c r="I104" s="5"/>
      <c r="J104" s="5"/>
      <c r="K104" s="7"/>
      <c r="L104" s="7">
        <v>2000</v>
      </c>
      <c r="M104" s="7"/>
      <c r="N104" s="5"/>
      <c r="O104" s="23"/>
      <c r="P104" s="113">
        <f>Q104+R104+S104+T104</f>
        <v>4634</v>
      </c>
      <c r="Q104" s="37">
        <v>1000</v>
      </c>
      <c r="R104" s="7">
        <v>3052</v>
      </c>
      <c r="S104" s="7">
        <v>30</v>
      </c>
      <c r="T104" s="56">
        <v>552</v>
      </c>
      <c r="U104" s="37"/>
      <c r="V104" s="7"/>
      <c r="W104" s="56">
        <f>900+500</f>
        <v>1400</v>
      </c>
      <c r="X104" s="37">
        <v>7296</v>
      </c>
      <c r="Y104" s="7"/>
      <c r="Z104" s="21"/>
      <c r="AA104" s="86">
        <f>B104+C104+D104+X104+Y104+Z104</f>
        <v>110737</v>
      </c>
      <c r="AB104" s="31"/>
      <c r="AC104" s="106">
        <f>AA104+AB104</f>
        <v>110737</v>
      </c>
    </row>
    <row r="105" spans="1:29" ht="12.75">
      <c r="A105" s="15" t="s">
        <v>53</v>
      </c>
      <c r="B105" s="122">
        <v>89035</v>
      </c>
      <c r="C105" s="26">
        <v>1302</v>
      </c>
      <c r="D105" s="80">
        <f t="shared" si="8"/>
        <v>16782</v>
      </c>
      <c r="E105" s="30"/>
      <c r="F105" s="17"/>
      <c r="G105" s="7">
        <v>1152</v>
      </c>
      <c r="H105" s="2">
        <v>3915</v>
      </c>
      <c r="I105" s="2"/>
      <c r="J105" s="2"/>
      <c r="K105" s="2"/>
      <c r="L105" s="7">
        <f>4015+1426</f>
        <v>5441</v>
      </c>
      <c r="M105" s="7"/>
      <c r="N105" s="2"/>
      <c r="O105" s="22">
        <v>400</v>
      </c>
      <c r="P105" s="113">
        <f>Q105+R105+S105+T105</f>
        <v>4747</v>
      </c>
      <c r="Q105" s="35">
        <v>1911</v>
      </c>
      <c r="R105" s="7">
        <v>2806</v>
      </c>
      <c r="S105" s="2">
        <v>30</v>
      </c>
      <c r="T105" s="61"/>
      <c r="U105" s="35"/>
      <c r="V105" s="2"/>
      <c r="W105" s="57">
        <v>1127</v>
      </c>
      <c r="X105" s="35">
        <v>7296</v>
      </c>
      <c r="Y105" s="2"/>
      <c r="Z105" s="21"/>
      <c r="AA105" s="88">
        <f>B105+C105+D105+X105+Y105+Z105</f>
        <v>114415</v>
      </c>
      <c r="AB105" s="30">
        <v>11600</v>
      </c>
      <c r="AC105" s="105">
        <f>AA105+AB105</f>
        <v>126015</v>
      </c>
    </row>
    <row r="106" spans="1:30" ht="12.75">
      <c r="A106" s="15" t="s">
        <v>25</v>
      </c>
      <c r="B106" s="72">
        <f>B105*97/100+1023+1893</f>
        <v>89279.95</v>
      </c>
      <c r="C106" s="12">
        <f>C105*97/100+15+27</f>
        <v>1304.94</v>
      </c>
      <c r="D106" s="80">
        <f t="shared" si="8"/>
        <v>13420.9</v>
      </c>
      <c r="E106" s="32"/>
      <c r="F106" s="58"/>
      <c r="G106" s="7">
        <v>1140</v>
      </c>
      <c r="H106" s="7">
        <v>3490</v>
      </c>
      <c r="I106" s="5"/>
      <c r="J106" s="5"/>
      <c r="K106" s="5"/>
      <c r="L106" s="7">
        <v>2000</v>
      </c>
      <c r="M106" s="5"/>
      <c r="N106" s="5"/>
      <c r="O106" s="23"/>
      <c r="P106" s="113">
        <f>Q106+R106+S106+T106</f>
        <v>5890.9</v>
      </c>
      <c r="Q106" s="37">
        <v>1900</v>
      </c>
      <c r="R106" s="7">
        <f>R105*1.15</f>
        <v>3226.8999999999996</v>
      </c>
      <c r="S106" s="7">
        <v>23</v>
      </c>
      <c r="T106" s="56">
        <v>741</v>
      </c>
      <c r="U106" s="36"/>
      <c r="V106" s="5"/>
      <c r="W106" s="56">
        <v>900</v>
      </c>
      <c r="X106" s="37">
        <v>6688</v>
      </c>
      <c r="Y106" s="5"/>
      <c r="Z106" s="22"/>
      <c r="AA106" s="86">
        <f>B106+C106+D106+X106+Y106+Z106</f>
        <v>110693.79</v>
      </c>
      <c r="AB106" s="31"/>
      <c r="AC106" s="106">
        <f>AA106+AB106</f>
        <v>110693.79</v>
      </c>
      <c r="AD106" s="74"/>
    </row>
    <row r="107" spans="1:29" ht="12.75">
      <c r="A107" s="18"/>
      <c r="B107" s="121"/>
      <c r="C107" s="39"/>
      <c r="D107" s="80">
        <f t="shared" si="8"/>
        <v>0</v>
      </c>
      <c r="E107" s="30"/>
      <c r="F107" s="17"/>
      <c r="G107" s="2"/>
      <c r="H107" s="2"/>
      <c r="I107" s="2"/>
      <c r="J107" s="2"/>
      <c r="K107" s="2"/>
      <c r="L107" s="2"/>
      <c r="M107" s="2"/>
      <c r="N107" s="2"/>
      <c r="O107" s="21"/>
      <c r="P107" s="113"/>
      <c r="Q107" s="35"/>
      <c r="R107" s="2"/>
      <c r="S107" s="2"/>
      <c r="T107" s="57"/>
      <c r="U107" s="35"/>
      <c r="V107" s="2"/>
      <c r="W107" s="57"/>
      <c r="X107" s="35"/>
      <c r="Y107" s="2"/>
      <c r="Z107" s="21"/>
      <c r="AA107" s="88"/>
      <c r="AB107" s="30"/>
      <c r="AC107" s="105"/>
    </row>
    <row r="108" spans="1:29" ht="12.75">
      <c r="A108" s="18" t="s">
        <v>41</v>
      </c>
      <c r="B108" s="122"/>
      <c r="C108" s="39"/>
      <c r="D108" s="80">
        <f t="shared" si="8"/>
        <v>0</v>
      </c>
      <c r="E108" s="30"/>
      <c r="F108" s="17"/>
      <c r="G108" s="2"/>
      <c r="H108" s="7"/>
      <c r="I108" s="2"/>
      <c r="J108" s="2"/>
      <c r="K108" s="5"/>
      <c r="L108" s="7"/>
      <c r="M108" s="7"/>
      <c r="N108" s="2"/>
      <c r="O108" s="22"/>
      <c r="P108" s="113"/>
      <c r="Q108" s="37"/>
      <c r="R108" s="7"/>
      <c r="S108" s="7"/>
      <c r="T108" s="59"/>
      <c r="U108" s="36"/>
      <c r="V108" s="5"/>
      <c r="W108" s="57"/>
      <c r="X108" s="37"/>
      <c r="Y108" s="2"/>
      <c r="Z108" s="21"/>
      <c r="AA108" s="86"/>
      <c r="AB108" s="31"/>
      <c r="AC108" s="106"/>
    </row>
    <row r="109" spans="1:29" ht="12.75">
      <c r="A109" s="15" t="s">
        <v>52</v>
      </c>
      <c r="B109" s="121">
        <v>114859</v>
      </c>
      <c r="C109" s="39">
        <v>34708</v>
      </c>
      <c r="D109" s="80">
        <f t="shared" si="8"/>
        <v>79345</v>
      </c>
      <c r="E109" s="30"/>
      <c r="F109" s="17"/>
      <c r="G109" s="2">
        <v>2602</v>
      </c>
      <c r="H109" s="2">
        <v>6661</v>
      </c>
      <c r="I109" s="2"/>
      <c r="J109" s="2"/>
      <c r="K109" s="2"/>
      <c r="L109" s="2">
        <v>2782</v>
      </c>
      <c r="M109" s="2"/>
      <c r="N109" s="2"/>
      <c r="O109" s="21">
        <v>100</v>
      </c>
      <c r="P109" s="113">
        <f>Q109+R109+S109+T109</f>
        <v>63572</v>
      </c>
      <c r="Q109" s="35">
        <v>46910</v>
      </c>
      <c r="R109" s="2">
        <v>15459</v>
      </c>
      <c r="S109" s="2">
        <v>1203</v>
      </c>
      <c r="T109" s="57"/>
      <c r="U109" s="35"/>
      <c r="V109" s="2"/>
      <c r="W109" s="57">
        <f>3328+300</f>
        <v>3628</v>
      </c>
      <c r="X109" s="35">
        <v>35019</v>
      </c>
      <c r="Y109" s="2"/>
      <c r="Z109" s="21"/>
      <c r="AA109" s="88">
        <f>B109+C109+D109+X109+Y109+Z109</f>
        <v>263931</v>
      </c>
      <c r="AB109" s="30"/>
      <c r="AC109" s="105">
        <f>AA109+AB109</f>
        <v>263931</v>
      </c>
    </row>
    <row r="110" spans="1:29" ht="12.75">
      <c r="A110" s="15" t="s">
        <v>53</v>
      </c>
      <c r="B110" s="122">
        <v>138882</v>
      </c>
      <c r="C110" s="39">
        <v>2100</v>
      </c>
      <c r="D110" s="80">
        <f t="shared" si="8"/>
        <v>77375</v>
      </c>
      <c r="E110" s="30"/>
      <c r="F110" s="17"/>
      <c r="G110" s="2">
        <v>2452</v>
      </c>
      <c r="H110" s="7">
        <v>10636</v>
      </c>
      <c r="I110" s="2"/>
      <c r="J110" s="2"/>
      <c r="K110" s="5">
        <v>636</v>
      </c>
      <c r="L110" s="7">
        <v>3616</v>
      </c>
      <c r="M110" s="7"/>
      <c r="N110" s="2"/>
      <c r="O110" s="22">
        <v>290</v>
      </c>
      <c r="P110" s="113">
        <f>Q110+R110+S110+T110</f>
        <v>55922</v>
      </c>
      <c r="Q110" s="37">
        <v>39897</v>
      </c>
      <c r="R110" s="7">
        <v>14573</v>
      </c>
      <c r="S110" s="7">
        <v>1452</v>
      </c>
      <c r="T110" s="59"/>
      <c r="U110" s="36"/>
      <c r="V110" s="5"/>
      <c r="W110" s="57">
        <v>3823</v>
      </c>
      <c r="X110" s="37">
        <v>32891</v>
      </c>
      <c r="Y110" s="2"/>
      <c r="Z110" s="21"/>
      <c r="AA110" s="86">
        <f>++B110+C110+D110+X110+Y110+Z110</f>
        <v>251248</v>
      </c>
      <c r="AB110" s="31"/>
      <c r="AC110" s="106">
        <f>AA110+AB110</f>
        <v>251248</v>
      </c>
    </row>
    <row r="111" spans="1:30" ht="12.75">
      <c r="A111" s="15" t="s">
        <v>25</v>
      </c>
      <c r="B111" s="72">
        <f>B110*97/100+1461+3048+1450+599</f>
        <v>141273.54</v>
      </c>
      <c r="C111" s="12">
        <f>C110*97/100+21+44+21+8</f>
        <v>2131</v>
      </c>
      <c r="D111" s="80">
        <f t="shared" si="8"/>
        <v>64937.95</v>
      </c>
      <c r="E111" s="30"/>
      <c r="F111" s="17"/>
      <c r="G111" s="2">
        <v>2452</v>
      </c>
      <c r="H111" s="2">
        <v>6661</v>
      </c>
      <c r="I111" s="2"/>
      <c r="J111" s="2"/>
      <c r="K111" s="2"/>
      <c r="L111" s="2">
        <v>2782</v>
      </c>
      <c r="M111" s="2"/>
      <c r="N111" s="2"/>
      <c r="O111" s="21">
        <v>100</v>
      </c>
      <c r="P111" s="113">
        <f>Q111+R111+S111+T111</f>
        <v>49614.95</v>
      </c>
      <c r="Q111" s="35">
        <v>30688</v>
      </c>
      <c r="R111" s="7">
        <f>R110*1.15</f>
        <v>16758.949999999997</v>
      </c>
      <c r="S111" s="2">
        <v>1334</v>
      </c>
      <c r="T111" s="69">
        <v>834</v>
      </c>
      <c r="U111" s="35"/>
      <c r="V111" s="2"/>
      <c r="W111" s="57">
        <v>3328</v>
      </c>
      <c r="X111" s="37">
        <f>31008+971</f>
        <v>31979</v>
      </c>
      <c r="Y111" s="2"/>
      <c r="Z111" s="21"/>
      <c r="AA111" s="86">
        <f>++B111+C111+D111+X111+Y111+Z111+1</f>
        <v>240322.49</v>
      </c>
      <c r="AB111" s="31"/>
      <c r="AC111" s="106">
        <f>AA111+AB111</f>
        <v>240322.49</v>
      </c>
      <c r="AD111" s="74"/>
    </row>
    <row r="112" spans="1:29" ht="12.75">
      <c r="A112" s="17"/>
      <c r="B112" s="121"/>
      <c r="C112" s="39"/>
      <c r="D112" s="80">
        <f t="shared" si="8"/>
        <v>0</v>
      </c>
      <c r="E112" s="30"/>
      <c r="F112" s="17"/>
      <c r="G112" s="2"/>
      <c r="H112" s="2"/>
      <c r="I112" s="2"/>
      <c r="J112" s="2"/>
      <c r="K112" s="2"/>
      <c r="L112" s="2"/>
      <c r="M112" s="2"/>
      <c r="N112" s="2"/>
      <c r="O112" s="21"/>
      <c r="P112" s="114"/>
      <c r="Q112" s="35"/>
      <c r="R112" s="2"/>
      <c r="S112" s="2"/>
      <c r="T112" s="57"/>
      <c r="U112" s="35"/>
      <c r="V112" s="2"/>
      <c r="W112" s="57"/>
      <c r="X112" s="35"/>
      <c r="Y112" s="2"/>
      <c r="Z112" s="21"/>
      <c r="AA112" s="91"/>
      <c r="AB112" s="32"/>
      <c r="AC112" s="107"/>
    </row>
    <row r="113" spans="1:29" ht="12.75">
      <c r="A113" s="18" t="s">
        <v>40</v>
      </c>
      <c r="B113" s="121"/>
      <c r="C113" s="39"/>
      <c r="D113" s="80">
        <f t="shared" si="8"/>
        <v>0</v>
      </c>
      <c r="E113" s="30"/>
      <c r="F113" s="17"/>
      <c r="G113" s="2"/>
      <c r="H113" s="2"/>
      <c r="I113" s="2"/>
      <c r="J113" s="2"/>
      <c r="K113" s="2"/>
      <c r="L113" s="2"/>
      <c r="M113" s="2"/>
      <c r="N113" s="2"/>
      <c r="O113" s="21"/>
      <c r="P113" s="114"/>
      <c r="Q113" s="35"/>
      <c r="R113" s="2"/>
      <c r="S113" s="2"/>
      <c r="T113" s="57"/>
      <c r="U113" s="35"/>
      <c r="V113" s="2"/>
      <c r="W113" s="57"/>
      <c r="X113" s="35"/>
      <c r="Y113" s="2"/>
      <c r="Z113" s="21"/>
      <c r="AA113" s="88"/>
      <c r="AB113" s="30"/>
      <c r="AC113" s="105"/>
    </row>
    <row r="114" spans="1:29" ht="12.75">
      <c r="A114" s="15" t="s">
        <v>52</v>
      </c>
      <c r="B114" s="122">
        <v>104424</v>
      </c>
      <c r="C114" s="39">
        <v>31018</v>
      </c>
      <c r="D114" s="80">
        <f t="shared" si="8"/>
        <v>266958</v>
      </c>
      <c r="E114" s="30"/>
      <c r="F114" s="17"/>
      <c r="G114" s="7">
        <v>1525</v>
      </c>
      <c r="H114" s="7">
        <v>6295</v>
      </c>
      <c r="I114" s="2"/>
      <c r="J114" s="2"/>
      <c r="K114" s="5"/>
      <c r="L114" s="7">
        <v>184410</v>
      </c>
      <c r="M114" s="7"/>
      <c r="N114" s="2"/>
      <c r="O114" s="21">
        <v>290</v>
      </c>
      <c r="P114" s="113">
        <f>Q114+R114+S114</f>
        <v>46733</v>
      </c>
      <c r="Q114" s="35"/>
      <c r="R114" s="7">
        <v>46733</v>
      </c>
      <c r="S114" s="2"/>
      <c r="T114" s="57"/>
      <c r="U114" s="35"/>
      <c r="V114" s="2"/>
      <c r="W114" s="56">
        <f>26895+810</f>
        <v>27705</v>
      </c>
      <c r="X114" s="35">
        <v>70528</v>
      </c>
      <c r="Y114" s="2"/>
      <c r="Z114" s="21"/>
      <c r="AA114" s="88">
        <f>B114+C114+D114+X114+Y114+Z114</f>
        <v>472928</v>
      </c>
      <c r="AB114" s="30"/>
      <c r="AC114" s="105">
        <f>AA114+AB114</f>
        <v>472928</v>
      </c>
    </row>
    <row r="115" spans="1:29" ht="12.75">
      <c r="A115" s="15" t="s">
        <v>53</v>
      </c>
      <c r="B115" s="120">
        <v>103261</v>
      </c>
      <c r="C115" s="26">
        <v>1497</v>
      </c>
      <c r="D115" s="80">
        <f t="shared" si="8"/>
        <v>398645</v>
      </c>
      <c r="E115" s="30"/>
      <c r="F115" s="17"/>
      <c r="G115" s="7">
        <v>1416</v>
      </c>
      <c r="H115" s="7">
        <v>6187</v>
      </c>
      <c r="I115" s="2"/>
      <c r="J115" s="2"/>
      <c r="K115" s="5"/>
      <c r="L115" s="2">
        <v>321882</v>
      </c>
      <c r="M115" s="2"/>
      <c r="N115" s="2"/>
      <c r="O115" s="22">
        <v>290</v>
      </c>
      <c r="P115" s="113">
        <f>Q115+R115+S115</f>
        <v>65600</v>
      </c>
      <c r="Q115" s="43"/>
      <c r="R115" s="7">
        <v>65600</v>
      </c>
      <c r="S115" s="2"/>
      <c r="T115" s="57"/>
      <c r="U115" s="35"/>
      <c r="V115" s="2"/>
      <c r="W115" s="56">
        <v>3270</v>
      </c>
      <c r="X115" s="35">
        <v>70528</v>
      </c>
      <c r="Y115" s="2"/>
      <c r="Z115" s="21"/>
      <c r="AA115" s="86">
        <f>B115+C115+D115+X115+Y115+Z115</f>
        <v>573931</v>
      </c>
      <c r="AB115" s="31"/>
      <c r="AC115" s="106">
        <f>AA115+AB115</f>
        <v>573931</v>
      </c>
    </row>
    <row r="116" spans="1:30" ht="12.75">
      <c r="A116" s="15" t="s">
        <v>25</v>
      </c>
      <c r="B116" s="72">
        <f>B115*97/100+2041+1430</f>
        <v>103634.17</v>
      </c>
      <c r="C116" s="12">
        <f>C115*97/100+30+20</f>
        <v>1502.09</v>
      </c>
      <c r="D116" s="80">
        <f t="shared" si="8"/>
        <v>317329</v>
      </c>
      <c r="E116" s="30"/>
      <c r="F116" s="17"/>
      <c r="G116" s="7">
        <v>1416</v>
      </c>
      <c r="H116" s="11">
        <v>6187</v>
      </c>
      <c r="I116" s="2"/>
      <c r="J116" s="2"/>
      <c r="K116" s="2"/>
      <c r="L116" s="11">
        <v>234410</v>
      </c>
      <c r="M116" s="2"/>
      <c r="N116" s="2"/>
      <c r="O116" s="21"/>
      <c r="P116" s="113">
        <f>Q116+R116+S116</f>
        <v>72046</v>
      </c>
      <c r="Q116" s="35"/>
      <c r="R116" s="7">
        <v>69288</v>
      </c>
      <c r="S116" s="2">
        <v>2758</v>
      </c>
      <c r="T116" s="57"/>
      <c r="U116" s="35"/>
      <c r="V116" s="2"/>
      <c r="W116" s="57">
        <v>3270</v>
      </c>
      <c r="X116" s="35">
        <v>59292</v>
      </c>
      <c r="Y116" s="2"/>
      <c r="Z116" s="21"/>
      <c r="AA116" s="86">
        <f>B116+C116+D116+X116+Y116+Z116</f>
        <v>481757.26</v>
      </c>
      <c r="AB116" s="32"/>
      <c r="AC116" s="106">
        <f>AA116+AB116</f>
        <v>481757.26</v>
      </c>
      <c r="AD116" s="74"/>
    </row>
    <row r="117" spans="1:29" ht="13.5" thickBot="1">
      <c r="A117" s="19"/>
      <c r="B117" s="124"/>
      <c r="C117" s="71"/>
      <c r="D117" s="82">
        <f t="shared" si="8"/>
        <v>0</v>
      </c>
      <c r="E117" s="48"/>
      <c r="F117" s="62"/>
      <c r="G117" s="13"/>
      <c r="H117" s="13"/>
      <c r="I117" s="13"/>
      <c r="J117" s="13"/>
      <c r="K117" s="13"/>
      <c r="L117" s="13"/>
      <c r="M117" s="13"/>
      <c r="N117" s="13"/>
      <c r="O117" s="27"/>
      <c r="P117" s="116"/>
      <c r="Q117" s="38"/>
      <c r="R117" s="13"/>
      <c r="S117" s="13"/>
      <c r="T117" s="63"/>
      <c r="U117" s="38"/>
      <c r="V117" s="13"/>
      <c r="W117" s="63"/>
      <c r="X117" s="38"/>
      <c r="Y117" s="13"/>
      <c r="Z117" s="27"/>
      <c r="AA117" s="92"/>
      <c r="AB117" s="34"/>
      <c r="AC117" s="108"/>
    </row>
    <row r="118" spans="1:29" ht="12.75">
      <c r="A118" s="14" t="s">
        <v>14</v>
      </c>
      <c r="B118" s="125"/>
      <c r="C118" s="100"/>
      <c r="D118" s="83">
        <f t="shared" si="8"/>
        <v>0</v>
      </c>
      <c r="E118" s="28"/>
      <c r="F118" s="64"/>
      <c r="G118" s="4"/>
      <c r="H118" s="4"/>
      <c r="I118" s="4"/>
      <c r="J118" s="4"/>
      <c r="K118" s="4"/>
      <c r="L118" s="4"/>
      <c r="M118" s="4"/>
      <c r="N118" s="4"/>
      <c r="O118" s="65"/>
      <c r="P118" s="117"/>
      <c r="Q118" s="93"/>
      <c r="R118" s="4"/>
      <c r="S118" s="4"/>
      <c r="T118" s="65"/>
      <c r="U118" s="64"/>
      <c r="V118" s="4"/>
      <c r="W118" s="65"/>
      <c r="X118" s="64"/>
      <c r="Y118" s="4"/>
      <c r="Z118" s="65"/>
      <c r="AA118" s="97"/>
      <c r="AB118" s="10"/>
      <c r="AC118" s="109"/>
    </row>
    <row r="119" spans="1:29" ht="12.75">
      <c r="A119" s="15" t="s">
        <v>52</v>
      </c>
      <c r="B119" s="72">
        <f aca="true" t="shared" si="9" ref="B119:D120">B9+B19+B24+B29+B34+B39+B44+B49+B54+B69+B74+B79+B84+B89+B94+B99+B104+B109+B114+B59+B14+B64</f>
        <v>3996914</v>
      </c>
      <c r="C119" s="26">
        <f t="shared" si="9"/>
        <v>1205442</v>
      </c>
      <c r="D119" s="80">
        <f t="shared" si="9"/>
        <v>1279641</v>
      </c>
      <c r="E119" s="31">
        <f>E9+E19+E24+E29+E34+E39+E44+E49+E54+E69+E74+E79+E84+E89+E94+E99+E104+E109+E114+E59+E14</f>
        <v>0</v>
      </c>
      <c r="F119" s="60">
        <f>F9+F19+F24+F29+F34+F39+F44+F49+F54+F69+F74+F79+F84+F89+F94+F99+F104+F109+F114+F59+F14</f>
        <v>0</v>
      </c>
      <c r="G119" s="7">
        <f aca="true" t="shared" si="10" ref="G119:AC120">G9+G19+G24+G29+G34+G39+G44+G49+G54+G69+G74+G79+G84+G89+G94+G99+G104+G109+G114+G59+G14+G64</f>
        <v>54205</v>
      </c>
      <c r="H119" s="7">
        <f t="shared" si="10"/>
        <v>102932</v>
      </c>
      <c r="I119" s="7">
        <f t="shared" si="10"/>
        <v>0</v>
      </c>
      <c r="J119" s="7">
        <f t="shared" si="10"/>
        <v>0</v>
      </c>
      <c r="K119" s="7">
        <f t="shared" si="10"/>
        <v>1963</v>
      </c>
      <c r="L119" s="7">
        <f t="shared" si="10"/>
        <v>209951</v>
      </c>
      <c r="M119" s="7">
        <f t="shared" si="10"/>
        <v>11600</v>
      </c>
      <c r="N119" s="7">
        <f t="shared" si="10"/>
        <v>0</v>
      </c>
      <c r="O119" s="56">
        <f t="shared" si="10"/>
        <v>10025</v>
      </c>
      <c r="P119" s="113">
        <f t="shared" si="10"/>
        <v>426525</v>
      </c>
      <c r="Q119" s="94">
        <f t="shared" si="10"/>
        <v>226050</v>
      </c>
      <c r="R119" s="7">
        <f t="shared" si="10"/>
        <v>183297</v>
      </c>
      <c r="S119" s="7">
        <f t="shared" si="10"/>
        <v>11670</v>
      </c>
      <c r="T119" s="56">
        <f t="shared" si="10"/>
        <v>5508</v>
      </c>
      <c r="U119" s="60">
        <f t="shared" si="10"/>
        <v>16600</v>
      </c>
      <c r="V119" s="7">
        <f t="shared" si="10"/>
        <v>6000</v>
      </c>
      <c r="W119" s="56">
        <f t="shared" si="10"/>
        <v>439840</v>
      </c>
      <c r="X119" s="60">
        <f t="shared" si="10"/>
        <v>222891</v>
      </c>
      <c r="Y119" s="7">
        <f t="shared" si="10"/>
        <v>0</v>
      </c>
      <c r="Z119" s="56">
        <f t="shared" si="10"/>
        <v>28168</v>
      </c>
      <c r="AA119" s="98">
        <f t="shared" si="10"/>
        <v>6733056</v>
      </c>
      <c r="AB119" s="25">
        <f t="shared" si="10"/>
        <v>33000</v>
      </c>
      <c r="AC119" s="110">
        <f t="shared" si="10"/>
        <v>6766056</v>
      </c>
    </row>
    <row r="120" spans="1:29" ht="12.75">
      <c r="A120" s="15" t="s">
        <v>53</v>
      </c>
      <c r="B120" s="72">
        <f t="shared" si="9"/>
        <v>5859236</v>
      </c>
      <c r="C120" s="26">
        <f t="shared" si="9"/>
        <v>91081</v>
      </c>
      <c r="D120" s="80">
        <f t="shared" si="9"/>
        <v>1738925</v>
      </c>
      <c r="E120" s="31">
        <f>E10+E20+E25+E30+E35+E40+E45+E50+E55+E70+E75+E80+E85+E90+E95+E100+E105+E110+E115+E60+E15+E65</f>
        <v>0</v>
      </c>
      <c r="F120" s="60">
        <f>F10+F20+F25+F30+F35+F40+F45+F50+F55+F70+F75+F80+F85+F90+F95+F100+F105+F110+F115+F60+F15+F65</f>
        <v>300</v>
      </c>
      <c r="G120" s="7">
        <f t="shared" si="10"/>
        <v>62665</v>
      </c>
      <c r="H120" s="7">
        <f t="shared" si="10"/>
        <v>181821</v>
      </c>
      <c r="I120" s="7">
        <f t="shared" si="10"/>
        <v>3700</v>
      </c>
      <c r="J120" s="7">
        <f t="shared" si="10"/>
        <v>335</v>
      </c>
      <c r="K120" s="7">
        <f t="shared" si="10"/>
        <v>4571</v>
      </c>
      <c r="L120" s="7">
        <f t="shared" si="10"/>
        <v>400401</v>
      </c>
      <c r="M120" s="7">
        <f t="shared" si="10"/>
        <v>13221</v>
      </c>
      <c r="N120" s="7">
        <f t="shared" si="10"/>
        <v>8580</v>
      </c>
      <c r="O120" s="56">
        <f t="shared" si="10"/>
        <v>22323</v>
      </c>
      <c r="P120" s="113">
        <f t="shared" si="10"/>
        <v>555775</v>
      </c>
      <c r="Q120" s="94">
        <f t="shared" si="10"/>
        <v>296136</v>
      </c>
      <c r="R120" s="7">
        <f t="shared" si="10"/>
        <v>237625</v>
      </c>
      <c r="S120" s="7">
        <f t="shared" si="10"/>
        <v>16480</v>
      </c>
      <c r="T120" s="56">
        <f t="shared" si="10"/>
        <v>5534</v>
      </c>
      <c r="U120" s="60">
        <f t="shared" si="10"/>
        <v>23701</v>
      </c>
      <c r="V120" s="7">
        <f t="shared" si="10"/>
        <v>8600</v>
      </c>
      <c r="W120" s="56">
        <f t="shared" si="10"/>
        <v>454972</v>
      </c>
      <c r="X120" s="60">
        <f t="shared" si="10"/>
        <v>216203</v>
      </c>
      <c r="Y120" s="7">
        <f t="shared" si="10"/>
        <v>0</v>
      </c>
      <c r="Z120" s="56">
        <f t="shared" si="10"/>
        <v>30030</v>
      </c>
      <c r="AA120" s="98">
        <f t="shared" si="10"/>
        <v>7935475</v>
      </c>
      <c r="AB120" s="25">
        <f t="shared" si="10"/>
        <v>331845</v>
      </c>
      <c r="AC120" s="110">
        <f t="shared" si="10"/>
        <v>8267320</v>
      </c>
    </row>
    <row r="121" spans="1:29" ht="13.5" thickBot="1">
      <c r="A121" s="126" t="s">
        <v>25</v>
      </c>
      <c r="B121" s="73">
        <f>B11+B21+B26+B31+B36+B41+B46+B51+B71+B76+B81+B86+B91+B96+B101+B106+B111+B116+B61+B16+B56+B66+2</f>
        <v>5860515.92</v>
      </c>
      <c r="C121" s="101">
        <f>C11+C21+C26+C31+C36+C41+C46+C51+C71+C76+C81+C86+C91+C96+C101+C106+C111+C116+C61+C16+C56+C66-1</f>
        <v>90912.56999999999</v>
      </c>
      <c r="D121" s="102">
        <f>D11+D21+D26+D31+D36+D41+D46+D51+D71+D76+D81+D86+D91+D96+D101+D106+D111+D116+D61+D16+D56+D66-1</f>
        <v>1310479.65</v>
      </c>
      <c r="E121" s="49"/>
      <c r="F121" s="77"/>
      <c r="G121" s="84">
        <f aca="true" t="shared" si="11" ref="G121:W121">G11+G21+G26+G31+G36+G41+G46+G51+G71+G76+G81+G86+G91+G96+G101+G106+G111+G116+G61+G16+G56+G66</f>
        <v>58483</v>
      </c>
      <c r="H121" s="84">
        <f t="shared" si="11"/>
        <v>116150</v>
      </c>
      <c r="I121" s="84">
        <f t="shared" si="11"/>
        <v>0</v>
      </c>
      <c r="J121" s="84">
        <f t="shared" si="11"/>
        <v>0</v>
      </c>
      <c r="K121" s="84">
        <f t="shared" si="11"/>
        <v>1713</v>
      </c>
      <c r="L121" s="84">
        <f t="shared" si="11"/>
        <v>260601</v>
      </c>
      <c r="M121" s="84">
        <f t="shared" si="11"/>
        <v>13221</v>
      </c>
      <c r="N121" s="84">
        <f t="shared" si="11"/>
        <v>0</v>
      </c>
      <c r="O121" s="85">
        <f t="shared" si="11"/>
        <v>9718</v>
      </c>
      <c r="P121" s="118">
        <f>P11+P21+P26+P31+P36+P41+P46+P51+P71+P76+P81+P86+P91+P96+P101+P106+P111+P116+P61+P16+P56+P66-1</f>
        <v>525636.6499999999</v>
      </c>
      <c r="Q121" s="95">
        <f t="shared" si="11"/>
        <v>253420</v>
      </c>
      <c r="R121" s="84">
        <f>R11+R21+R26+R31+R36+R41+R46+R51+R71+R76+R81+R86+R91+R96+R101+R106+R111+R116+R61+R16+R56+R66-1</f>
        <v>233694.65</v>
      </c>
      <c r="S121" s="84">
        <f t="shared" si="11"/>
        <v>17143</v>
      </c>
      <c r="T121" s="85">
        <f t="shared" si="11"/>
        <v>21379</v>
      </c>
      <c r="U121" s="95">
        <f t="shared" si="11"/>
        <v>11460</v>
      </c>
      <c r="V121" s="84">
        <f t="shared" si="11"/>
        <v>7000</v>
      </c>
      <c r="W121" s="78">
        <f t="shared" si="11"/>
        <v>308537</v>
      </c>
      <c r="X121" s="96">
        <f>X11+X21+X26+X31+X36+X41+X46+X51+X56+X61+X71+X76+X81+X86+X91+X96+X101+X106+X111+X116+X16</f>
        <v>197671</v>
      </c>
      <c r="Y121" s="84">
        <f>Y11+Y21+Y26+Y31+Y36+Y41+Y46+Y51+Y71+Y76+Y81+Y86+Y91+Y96+Y101+Y106+Y111+Y116+Y61+Y16+Y56+Y66</f>
        <v>0</v>
      </c>
      <c r="Z121" s="85">
        <f>Z11+Z21+Z26+Z31+Z36+Z41+Z46+Z51+Z71+Z76+Z81+Z86+Z91+Z96+Z101+Z106+Z111+Z116+Z61+Z16+Z56+Z66</f>
        <v>30030</v>
      </c>
      <c r="AA121" s="99">
        <f>AA11+AA21+AA26+AA31+AA36+AA41+AA46+AA51+AA71+AA76+AA81+AA86+AA91+AA96+AA101+AA106+AA111+AA116+AA61+AA16+AA56+AA66+1-2</f>
        <v>7489610.140000001</v>
      </c>
      <c r="AB121" s="76">
        <f>AB11+AB21+AB26+AB31+AB36+AB41+AB46+AB51+AB71+AB76+AB81+AB86+AB91+AB96+AB101+AB106+AB111+AB116+AB61+AB16+AB56+AB66</f>
        <v>106000</v>
      </c>
      <c r="AC121" s="111">
        <f>AC11+AC21+AC26+AC31+AC36+AC41+AC46+AC51+AC71+AC76+AC81+AC86+AC91+AC96+AC101+AC106+AC111+AC116+AC61+AC16+AC56+AC66-1</f>
        <v>7595610.140000001</v>
      </c>
    </row>
  </sheetData>
  <sheetProtection/>
  <mergeCells count="11">
    <mergeCell ref="X5:X6"/>
    <mergeCell ref="Y5:Y6"/>
    <mergeCell ref="Z5:Z6"/>
    <mergeCell ref="AA5:AA6"/>
    <mergeCell ref="AB5:AB6"/>
    <mergeCell ref="AC5:AC6"/>
    <mergeCell ref="A5:A6"/>
    <mergeCell ref="B5:B6"/>
    <mergeCell ref="C5:C6"/>
    <mergeCell ref="D5:D6"/>
    <mergeCell ref="F5:W5"/>
  </mergeCells>
  <printOptions/>
  <pageMargins left="0.5118110236220472" right="0" top="0.3937007874015748" bottom="0.1968503937007874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6"/>
  <sheetViews>
    <sheetView zoomScalePageLayoutView="0" workbookViewId="0" topLeftCell="A1">
      <selection activeCell="A134" sqref="A134"/>
    </sheetView>
  </sheetViews>
  <sheetFormatPr defaultColWidth="9.140625" defaultRowHeight="12.75"/>
  <cols>
    <col min="1" max="1" width="26.7109375" style="0" customWidth="1"/>
    <col min="2" max="2" width="9.140625" style="132" customWidth="1"/>
    <col min="5" max="5" width="9.140625" style="129" customWidth="1"/>
    <col min="17" max="17" width="9.140625" style="130" customWidth="1"/>
    <col min="26" max="26" width="9.140625" style="128" customWidth="1"/>
    <col min="29" max="29" width="9.140625" style="131" customWidth="1"/>
  </cols>
  <sheetData>
    <row r="1" spans="2:29" ht="15">
      <c r="B1"/>
      <c r="E1" s="9"/>
      <c r="F1" s="9"/>
      <c r="G1" s="411" t="s">
        <v>57</v>
      </c>
      <c r="H1" s="412"/>
      <c r="I1" s="412"/>
      <c r="J1" s="412"/>
      <c r="K1" s="412"/>
      <c r="L1" s="412"/>
      <c r="M1" s="412"/>
      <c r="Q1"/>
      <c r="Z1" s="328"/>
      <c r="AC1"/>
    </row>
    <row r="2" spans="1:31" ht="15">
      <c r="A2" s="354" t="s">
        <v>0</v>
      </c>
      <c r="B2" s="421" t="s">
        <v>173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353"/>
      <c r="X2" s="353"/>
      <c r="Y2" s="353"/>
      <c r="Z2" s="353"/>
      <c r="AA2" s="353"/>
      <c r="AB2" s="353"/>
      <c r="AC2" s="353"/>
      <c r="AD2" s="353"/>
      <c r="AE2" s="353"/>
    </row>
    <row r="3" spans="1:31" ht="15">
      <c r="A3" s="354"/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53"/>
      <c r="X3" s="353"/>
      <c r="Y3" s="353"/>
      <c r="Z3" s="353"/>
      <c r="AA3" s="353"/>
      <c r="AB3" s="353"/>
      <c r="AC3" s="353"/>
      <c r="AD3" s="353"/>
      <c r="AE3" s="353"/>
    </row>
    <row r="4" spans="2:29" ht="13.5" thickBot="1">
      <c r="B4"/>
      <c r="E4"/>
      <c r="Q4"/>
      <c r="T4" s="350"/>
      <c r="U4" s="350"/>
      <c r="V4" s="350"/>
      <c r="W4" s="350"/>
      <c r="X4" s="350"/>
      <c r="Y4" s="350"/>
      <c r="Z4" s="350"/>
      <c r="AC4"/>
    </row>
    <row r="5" spans="1:29" ht="12.75">
      <c r="A5" s="413" t="s">
        <v>59</v>
      </c>
      <c r="B5" s="415" t="s">
        <v>60</v>
      </c>
      <c r="C5" s="415" t="s">
        <v>1</v>
      </c>
      <c r="D5" s="409" t="s">
        <v>61</v>
      </c>
      <c r="E5" s="409" t="s">
        <v>62</v>
      </c>
      <c r="F5" s="418" t="s">
        <v>2</v>
      </c>
      <c r="G5" s="419"/>
      <c r="H5" s="419"/>
      <c r="I5" s="419"/>
      <c r="J5" s="419"/>
      <c r="K5" s="419"/>
      <c r="L5" s="419"/>
      <c r="M5" s="419"/>
      <c r="N5" s="419"/>
      <c r="O5" s="419"/>
      <c r="P5" s="420"/>
      <c r="Q5" s="409" t="s">
        <v>63</v>
      </c>
      <c r="R5" s="423"/>
      <c r="S5" s="424"/>
      <c r="T5" s="424"/>
      <c r="U5" s="425"/>
      <c r="V5" s="409" t="s">
        <v>64</v>
      </c>
      <c r="W5" s="432" t="s">
        <v>65</v>
      </c>
      <c r="X5" s="432" t="s">
        <v>66</v>
      </c>
      <c r="Y5" s="434" t="s">
        <v>67</v>
      </c>
      <c r="Z5" s="430" t="s">
        <v>49</v>
      </c>
      <c r="AA5" s="404"/>
      <c r="AB5" s="428" t="s">
        <v>68</v>
      </c>
      <c r="AC5" s="426" t="s">
        <v>69</v>
      </c>
    </row>
    <row r="6" spans="1:30" ht="45">
      <c r="A6" s="414"/>
      <c r="B6" s="416"/>
      <c r="C6" s="416"/>
      <c r="D6" s="410"/>
      <c r="E6" s="417"/>
      <c r="F6" s="330" t="s">
        <v>3</v>
      </c>
      <c r="G6" s="330" t="s">
        <v>4</v>
      </c>
      <c r="H6" s="330" t="s">
        <v>6</v>
      </c>
      <c r="I6" s="330" t="s">
        <v>7</v>
      </c>
      <c r="J6" s="331" t="s">
        <v>70</v>
      </c>
      <c r="K6" s="330" t="s">
        <v>15</v>
      </c>
      <c r="L6" s="330" t="s">
        <v>16</v>
      </c>
      <c r="M6" s="331" t="s">
        <v>71</v>
      </c>
      <c r="N6" s="364" t="s">
        <v>72</v>
      </c>
      <c r="O6" s="331" t="s">
        <v>73</v>
      </c>
      <c r="P6" s="331"/>
      <c r="Q6" s="417"/>
      <c r="R6" s="330" t="s">
        <v>21</v>
      </c>
      <c r="S6" s="330" t="s">
        <v>5</v>
      </c>
      <c r="T6" s="330" t="s">
        <v>22</v>
      </c>
      <c r="U6" s="351" t="s">
        <v>24</v>
      </c>
      <c r="V6" s="417"/>
      <c r="W6" s="433"/>
      <c r="X6" s="433"/>
      <c r="Y6" s="435"/>
      <c r="Z6" s="431"/>
      <c r="AA6" s="405"/>
      <c r="AB6" s="429"/>
      <c r="AC6" s="427"/>
      <c r="AD6" s="328"/>
    </row>
    <row r="7" spans="1:31" ht="12.75">
      <c r="A7" s="127">
        <v>1</v>
      </c>
      <c r="B7" s="127">
        <v>2</v>
      </c>
      <c r="C7" s="127">
        <v>3</v>
      </c>
      <c r="D7" s="127"/>
      <c r="E7" s="127">
        <v>4</v>
      </c>
      <c r="F7" s="127">
        <v>5</v>
      </c>
      <c r="G7" s="127">
        <v>6</v>
      </c>
      <c r="H7" s="127">
        <v>7</v>
      </c>
      <c r="I7" s="127">
        <v>8</v>
      </c>
      <c r="J7" s="127">
        <v>9</v>
      </c>
      <c r="K7" s="127">
        <v>10</v>
      </c>
      <c r="L7" s="127">
        <v>11</v>
      </c>
      <c r="M7" s="127">
        <v>12</v>
      </c>
      <c r="N7" s="127">
        <v>13</v>
      </c>
      <c r="O7" s="127">
        <v>14</v>
      </c>
      <c r="P7" s="127">
        <v>15</v>
      </c>
      <c r="Q7" s="127">
        <v>16</v>
      </c>
      <c r="R7" s="127">
        <v>17</v>
      </c>
      <c r="S7" s="127">
        <v>18</v>
      </c>
      <c r="T7" s="127">
        <v>19</v>
      </c>
      <c r="U7" s="127"/>
      <c r="V7" s="127">
        <v>20</v>
      </c>
      <c r="W7" s="127">
        <v>21</v>
      </c>
      <c r="X7" s="127">
        <v>22</v>
      </c>
      <c r="Y7" s="127">
        <v>23</v>
      </c>
      <c r="Z7" s="127">
        <v>24</v>
      </c>
      <c r="AA7" s="127"/>
      <c r="AB7" s="127">
        <v>25</v>
      </c>
      <c r="AC7" s="127">
        <v>26</v>
      </c>
      <c r="AE7" s="9"/>
    </row>
    <row r="8" spans="1:30" ht="12.75">
      <c r="A8" s="332" t="s">
        <v>174</v>
      </c>
      <c r="B8" s="333"/>
      <c r="C8" s="333"/>
      <c r="D8" s="333"/>
      <c r="E8" s="333">
        <v>0</v>
      </c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5">
        <v>0</v>
      </c>
      <c r="AA8" s="333"/>
      <c r="AB8" s="333"/>
      <c r="AC8" s="333"/>
      <c r="AD8">
        <v>1</v>
      </c>
    </row>
    <row r="9" spans="1:29" ht="12.75">
      <c r="A9" s="334" t="s">
        <v>74</v>
      </c>
      <c r="B9" s="333">
        <v>159528</v>
      </c>
      <c r="C9" s="333">
        <v>48624</v>
      </c>
      <c r="D9" s="333">
        <v>208152</v>
      </c>
      <c r="E9" s="333">
        <v>26092</v>
      </c>
      <c r="F9" s="333">
        <v>6905</v>
      </c>
      <c r="G9" s="333"/>
      <c r="H9" s="333">
        <v>220</v>
      </c>
      <c r="I9" s="333"/>
      <c r="J9" s="333"/>
      <c r="K9" s="333"/>
      <c r="L9" s="333"/>
      <c r="M9" s="333"/>
      <c r="N9" s="333"/>
      <c r="O9" s="333"/>
      <c r="P9" s="333"/>
      <c r="Q9" s="333">
        <v>14902</v>
      </c>
      <c r="R9" s="333">
        <v>10466</v>
      </c>
      <c r="S9" s="333">
        <v>2356</v>
      </c>
      <c r="T9" s="333">
        <v>1576</v>
      </c>
      <c r="U9" s="333">
        <v>504</v>
      </c>
      <c r="V9" s="333">
        <v>600</v>
      </c>
      <c r="W9" s="333">
        <v>1595</v>
      </c>
      <c r="X9" s="333">
        <v>1870</v>
      </c>
      <c r="Y9" s="333"/>
      <c r="Z9" s="335">
        <v>234244</v>
      </c>
      <c r="AA9" s="335"/>
      <c r="AB9" s="333"/>
      <c r="AC9" s="333">
        <v>234244</v>
      </c>
    </row>
    <row r="10" spans="1:29" ht="12.75">
      <c r="A10" s="334" t="s">
        <v>75</v>
      </c>
      <c r="B10" s="333">
        <v>219028</v>
      </c>
      <c r="C10" s="333">
        <v>3176</v>
      </c>
      <c r="D10" s="333">
        <v>222204</v>
      </c>
      <c r="E10" s="333">
        <v>27276</v>
      </c>
      <c r="F10" s="333">
        <v>6866</v>
      </c>
      <c r="G10" s="333"/>
      <c r="H10" s="333">
        <v>220</v>
      </c>
      <c r="I10" s="333"/>
      <c r="J10" s="333"/>
      <c r="K10" s="333"/>
      <c r="L10" s="333"/>
      <c r="M10" s="333"/>
      <c r="N10" s="333"/>
      <c r="O10" s="333"/>
      <c r="P10" s="333"/>
      <c r="Q10" s="333">
        <v>15676</v>
      </c>
      <c r="R10" s="333">
        <v>10430</v>
      </c>
      <c r="S10" s="333">
        <v>3429</v>
      </c>
      <c r="T10" s="333">
        <v>1552</v>
      </c>
      <c r="U10" s="333">
        <v>265</v>
      </c>
      <c r="V10" s="333">
        <v>600</v>
      </c>
      <c r="W10" s="333">
        <v>2000</v>
      </c>
      <c r="X10" s="333">
        <v>1914</v>
      </c>
      <c r="Y10" s="333"/>
      <c r="Z10" s="335">
        <v>249480</v>
      </c>
      <c r="AA10" s="335"/>
      <c r="AB10" s="333"/>
      <c r="AC10" s="333">
        <v>249480</v>
      </c>
    </row>
    <row r="11" spans="1:29" ht="12.75">
      <c r="A11" s="334"/>
      <c r="B11" s="333"/>
      <c r="C11" s="333"/>
      <c r="D11" s="333"/>
      <c r="E11" s="333">
        <v>0</v>
      </c>
      <c r="F11" s="333"/>
      <c r="G11" s="333">
        <v>0</v>
      </c>
      <c r="H11" s="333"/>
      <c r="I11" s="333">
        <v>0</v>
      </c>
      <c r="J11" s="333">
        <v>0</v>
      </c>
      <c r="K11" s="333">
        <v>0</v>
      </c>
      <c r="L11" s="333">
        <v>0</v>
      </c>
      <c r="M11" s="333"/>
      <c r="N11" s="333">
        <v>0</v>
      </c>
      <c r="O11" s="333">
        <v>0</v>
      </c>
      <c r="P11" s="333">
        <v>0</v>
      </c>
      <c r="Q11" s="333">
        <v>0</v>
      </c>
      <c r="R11" s="333"/>
      <c r="S11" s="333"/>
      <c r="T11" s="333"/>
      <c r="U11" s="333"/>
      <c r="V11" s="333"/>
      <c r="W11" s="333"/>
      <c r="X11" s="333"/>
      <c r="Y11" s="333"/>
      <c r="Z11" s="335">
        <v>0</v>
      </c>
      <c r="AA11" s="335"/>
      <c r="AB11" s="333"/>
      <c r="AC11" s="333">
        <v>0</v>
      </c>
    </row>
    <row r="12" spans="1:29" ht="12.75">
      <c r="A12" s="334" t="s">
        <v>76</v>
      </c>
      <c r="B12" s="333">
        <v>215137</v>
      </c>
      <c r="C12" s="333">
        <v>3119</v>
      </c>
      <c r="D12" s="333">
        <v>218256</v>
      </c>
      <c r="E12" s="333">
        <v>26483</v>
      </c>
      <c r="F12" s="333">
        <v>6866</v>
      </c>
      <c r="G12" s="333">
        <v>0</v>
      </c>
      <c r="H12" s="333">
        <v>220</v>
      </c>
      <c r="I12" s="333">
        <v>0</v>
      </c>
      <c r="J12" s="333">
        <v>0</v>
      </c>
      <c r="K12" s="333">
        <v>0</v>
      </c>
      <c r="L12" s="333">
        <v>0</v>
      </c>
      <c r="M12" s="333">
        <v>0</v>
      </c>
      <c r="N12" s="333">
        <v>0</v>
      </c>
      <c r="O12" s="333">
        <v>0</v>
      </c>
      <c r="P12" s="333">
        <v>0</v>
      </c>
      <c r="Q12" s="333">
        <v>15332</v>
      </c>
      <c r="R12" s="333">
        <v>10707</v>
      </c>
      <c r="S12" s="333">
        <v>2789</v>
      </c>
      <c r="T12" s="333">
        <v>1584</v>
      </c>
      <c r="U12" s="333">
        <v>252</v>
      </c>
      <c r="V12" s="333">
        <v>600</v>
      </c>
      <c r="W12" s="333">
        <v>1595</v>
      </c>
      <c r="X12" s="333">
        <v>1870</v>
      </c>
      <c r="Y12" s="333">
        <v>0</v>
      </c>
      <c r="Z12" s="335">
        <v>244739</v>
      </c>
      <c r="AA12" s="335"/>
      <c r="AB12" s="333"/>
      <c r="AC12" s="333">
        <v>244739</v>
      </c>
    </row>
    <row r="13" spans="1:29" ht="12.75">
      <c r="A13" s="333"/>
      <c r="B13" s="333"/>
      <c r="C13" s="333"/>
      <c r="D13" s="333"/>
      <c r="E13" s="333">
        <v>0</v>
      </c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5">
        <v>0</v>
      </c>
      <c r="AA13" s="333"/>
      <c r="AB13" s="333"/>
      <c r="AC13" s="333"/>
    </row>
    <row r="14" spans="1:30" ht="12.75">
      <c r="A14" s="332" t="s">
        <v>175</v>
      </c>
      <c r="B14" s="333"/>
      <c r="C14" s="333"/>
      <c r="D14" s="333"/>
      <c r="E14" s="333">
        <v>0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5">
        <v>0</v>
      </c>
      <c r="AA14" s="333"/>
      <c r="AB14" s="333"/>
      <c r="AC14" s="333"/>
      <c r="AD14">
        <v>2</v>
      </c>
    </row>
    <row r="15" spans="1:29" ht="12.75">
      <c r="A15" s="334" t="s">
        <v>74</v>
      </c>
      <c r="B15" s="333">
        <v>281180</v>
      </c>
      <c r="C15" s="333">
        <v>85704</v>
      </c>
      <c r="D15" s="333">
        <v>366884</v>
      </c>
      <c r="E15" s="333">
        <v>45155</v>
      </c>
      <c r="F15" s="333">
        <v>13371</v>
      </c>
      <c r="G15" s="333"/>
      <c r="H15" s="333">
        <v>300</v>
      </c>
      <c r="I15" s="333"/>
      <c r="J15" s="333"/>
      <c r="K15" s="333"/>
      <c r="L15" s="333"/>
      <c r="M15" s="333"/>
      <c r="N15" s="333"/>
      <c r="O15" s="333"/>
      <c r="P15" s="333"/>
      <c r="Q15" s="333">
        <v>26729</v>
      </c>
      <c r="R15" s="333">
        <v>18972</v>
      </c>
      <c r="S15" s="333">
        <v>4498</v>
      </c>
      <c r="T15" s="333">
        <v>2365</v>
      </c>
      <c r="U15" s="333">
        <v>894</v>
      </c>
      <c r="V15" s="333"/>
      <c r="W15" s="333">
        <v>2606</v>
      </c>
      <c r="X15" s="333">
        <v>2149</v>
      </c>
      <c r="Y15" s="333"/>
      <c r="Z15" s="335">
        <v>412039</v>
      </c>
      <c r="AA15" s="333"/>
      <c r="AB15" s="333"/>
      <c r="AC15" s="333">
        <v>412039</v>
      </c>
    </row>
    <row r="16" spans="1:29" ht="12.75">
      <c r="A16" s="334" t="s">
        <v>75</v>
      </c>
      <c r="B16" s="333">
        <v>396191</v>
      </c>
      <c r="C16" s="333">
        <v>5745</v>
      </c>
      <c r="D16" s="333">
        <v>401936</v>
      </c>
      <c r="E16" s="333">
        <v>51304</v>
      </c>
      <c r="F16" s="333">
        <v>12312</v>
      </c>
      <c r="G16" s="333"/>
      <c r="H16" s="333">
        <v>300</v>
      </c>
      <c r="I16" s="333"/>
      <c r="J16" s="333"/>
      <c r="K16" s="333"/>
      <c r="L16" s="333"/>
      <c r="M16" s="333"/>
      <c r="N16" s="333"/>
      <c r="O16" s="333"/>
      <c r="P16" s="333"/>
      <c r="Q16" s="333">
        <v>27222</v>
      </c>
      <c r="R16" s="333">
        <v>19312</v>
      </c>
      <c r="S16" s="333">
        <v>4515</v>
      </c>
      <c r="T16" s="333">
        <v>2385</v>
      </c>
      <c r="U16" s="333">
        <v>1010</v>
      </c>
      <c r="V16" s="333"/>
      <c r="W16" s="333">
        <v>7700</v>
      </c>
      <c r="X16" s="333">
        <v>3770</v>
      </c>
      <c r="Y16" s="333"/>
      <c r="Z16" s="335">
        <v>453240</v>
      </c>
      <c r="AA16" s="333"/>
      <c r="AB16" s="333"/>
      <c r="AC16" s="333">
        <v>453240</v>
      </c>
    </row>
    <row r="17" spans="1:29" ht="12.75">
      <c r="A17" s="334"/>
      <c r="B17" s="333">
        <v>0</v>
      </c>
      <c r="C17" s="333">
        <v>0</v>
      </c>
      <c r="D17" s="333"/>
      <c r="E17" s="333">
        <v>0</v>
      </c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>
        <v>0</v>
      </c>
      <c r="R17" s="333"/>
      <c r="S17" s="333"/>
      <c r="T17" s="333"/>
      <c r="U17" s="333"/>
      <c r="V17" s="333"/>
      <c r="W17" s="333"/>
      <c r="X17" s="333"/>
      <c r="Y17" s="333"/>
      <c r="Z17" s="335">
        <v>0</v>
      </c>
      <c r="AA17" s="333"/>
      <c r="AB17" s="333"/>
      <c r="AC17" s="333">
        <v>0</v>
      </c>
    </row>
    <row r="18" spans="1:29" ht="12.75">
      <c r="A18" s="334" t="s">
        <v>76</v>
      </c>
      <c r="B18" s="333">
        <v>389805</v>
      </c>
      <c r="C18" s="333">
        <v>5652</v>
      </c>
      <c r="D18" s="333">
        <v>395457</v>
      </c>
      <c r="E18" s="333">
        <v>44589</v>
      </c>
      <c r="F18" s="333">
        <v>12312</v>
      </c>
      <c r="G18" s="333"/>
      <c r="H18" s="333">
        <v>300</v>
      </c>
      <c r="I18" s="333">
        <v>0</v>
      </c>
      <c r="J18" s="333">
        <v>0</v>
      </c>
      <c r="K18" s="333">
        <v>0</v>
      </c>
      <c r="L18" s="333">
        <v>0</v>
      </c>
      <c r="M18" s="333"/>
      <c r="N18" s="333">
        <v>0</v>
      </c>
      <c r="O18" s="333">
        <v>0</v>
      </c>
      <c r="P18" s="333">
        <v>0</v>
      </c>
      <c r="Q18" s="333">
        <v>27222</v>
      </c>
      <c r="R18" s="333">
        <v>19312</v>
      </c>
      <c r="S18" s="333">
        <v>4515</v>
      </c>
      <c r="T18" s="333">
        <v>2385</v>
      </c>
      <c r="U18" s="345">
        <v>1010</v>
      </c>
      <c r="V18" s="333">
        <v>0</v>
      </c>
      <c r="W18" s="333">
        <v>2606</v>
      </c>
      <c r="X18" s="333">
        <v>2149</v>
      </c>
      <c r="Y18" s="333">
        <v>0</v>
      </c>
      <c r="Z18" s="335">
        <v>440046</v>
      </c>
      <c r="AA18" s="335"/>
      <c r="AB18" s="333"/>
      <c r="AC18" s="333">
        <v>440046</v>
      </c>
    </row>
    <row r="19" spans="1:29" ht="12.75">
      <c r="A19" s="333"/>
      <c r="B19" s="333"/>
      <c r="C19" s="336"/>
      <c r="D19" s="336"/>
      <c r="E19" s="333">
        <v>0</v>
      </c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5">
        <v>0</v>
      </c>
      <c r="AA19" s="333"/>
      <c r="AB19" s="333"/>
      <c r="AC19" s="333"/>
    </row>
    <row r="20" spans="1:30" ht="12.75">
      <c r="A20" s="332" t="s">
        <v>176</v>
      </c>
      <c r="B20" s="333"/>
      <c r="C20" s="333"/>
      <c r="D20" s="333"/>
      <c r="E20" s="333">
        <v>0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5">
        <v>0</v>
      </c>
      <c r="AA20" s="333"/>
      <c r="AB20" s="333"/>
      <c r="AC20" s="333"/>
      <c r="AD20">
        <v>3</v>
      </c>
    </row>
    <row r="21" spans="1:29" ht="12.75">
      <c r="A21" s="334" t="s">
        <v>74</v>
      </c>
      <c r="B21" s="333">
        <v>92748</v>
      </c>
      <c r="C21" s="333">
        <v>28270</v>
      </c>
      <c r="D21" s="333">
        <v>121018</v>
      </c>
      <c r="E21" s="333">
        <v>40324</v>
      </c>
      <c r="F21" s="333">
        <v>5938</v>
      </c>
      <c r="G21" s="333"/>
      <c r="H21" s="333">
        <v>535</v>
      </c>
      <c r="I21" s="333"/>
      <c r="J21" s="333"/>
      <c r="K21" s="333"/>
      <c r="L21" s="333"/>
      <c r="M21" s="333"/>
      <c r="N21" s="333"/>
      <c r="O21" s="333"/>
      <c r="P21" s="333"/>
      <c r="Q21" s="333">
        <v>32241</v>
      </c>
      <c r="R21" s="333">
        <v>28816</v>
      </c>
      <c r="S21" s="333">
        <v>1693</v>
      </c>
      <c r="T21" s="333">
        <v>1270</v>
      </c>
      <c r="U21" s="333">
        <v>462</v>
      </c>
      <c r="V21" s="333"/>
      <c r="W21" s="333">
        <v>1134</v>
      </c>
      <c r="X21" s="333">
        <v>476</v>
      </c>
      <c r="Y21" s="333"/>
      <c r="Z21" s="335">
        <v>161342</v>
      </c>
      <c r="AA21" s="333"/>
      <c r="AB21" s="333"/>
      <c r="AC21" s="333">
        <v>161342</v>
      </c>
    </row>
    <row r="22" spans="1:29" ht="12.75">
      <c r="A22" s="334" t="s">
        <v>75</v>
      </c>
      <c r="B22" s="333">
        <v>147317</v>
      </c>
      <c r="C22" s="333">
        <v>2136</v>
      </c>
      <c r="D22" s="333">
        <v>149453</v>
      </c>
      <c r="E22" s="333">
        <v>46066</v>
      </c>
      <c r="F22" s="333">
        <v>6000</v>
      </c>
      <c r="G22" s="333"/>
      <c r="H22" s="333">
        <v>620</v>
      </c>
      <c r="I22" s="333"/>
      <c r="J22" s="333"/>
      <c r="K22" s="333"/>
      <c r="L22" s="333"/>
      <c r="M22" s="333"/>
      <c r="N22" s="333"/>
      <c r="O22" s="333"/>
      <c r="P22" s="333"/>
      <c r="Q22" s="333">
        <v>33640</v>
      </c>
      <c r="R22" s="333">
        <v>29600</v>
      </c>
      <c r="S22" s="333">
        <v>2050</v>
      </c>
      <c r="T22" s="333">
        <v>1550</v>
      </c>
      <c r="U22" s="333">
        <v>440</v>
      </c>
      <c r="V22" s="333">
        <v>2240</v>
      </c>
      <c r="W22" s="333">
        <v>2760</v>
      </c>
      <c r="X22" s="333">
        <v>806</v>
      </c>
      <c r="Y22" s="333"/>
      <c r="Z22" s="335">
        <v>195519</v>
      </c>
      <c r="AA22" s="333"/>
      <c r="AB22" s="333"/>
      <c r="AC22" s="333">
        <v>195519</v>
      </c>
    </row>
    <row r="23" spans="1:29" ht="12.75">
      <c r="A23" s="334"/>
      <c r="B23" s="333"/>
      <c r="C23" s="333"/>
      <c r="D23" s="333"/>
      <c r="E23" s="333">
        <v>0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>
        <v>0</v>
      </c>
      <c r="R23" s="333"/>
      <c r="S23" s="333"/>
      <c r="T23" s="333"/>
      <c r="U23" s="333"/>
      <c r="V23" s="333"/>
      <c r="W23" s="333"/>
      <c r="X23" s="333"/>
      <c r="Y23" s="333"/>
      <c r="Z23" s="335">
        <v>0</v>
      </c>
      <c r="AA23" s="333"/>
      <c r="AB23" s="333"/>
      <c r="AC23" s="333">
        <v>0</v>
      </c>
    </row>
    <row r="24" spans="1:29" ht="12.75">
      <c r="A24" s="334" t="s">
        <v>76</v>
      </c>
      <c r="B24" s="333">
        <v>144894</v>
      </c>
      <c r="C24" s="333">
        <v>2101</v>
      </c>
      <c r="D24" s="333">
        <v>146995</v>
      </c>
      <c r="E24" s="333">
        <v>41785</v>
      </c>
      <c r="F24" s="333">
        <v>6000</v>
      </c>
      <c r="G24" s="333">
        <v>0</v>
      </c>
      <c r="H24" s="333">
        <v>535</v>
      </c>
      <c r="I24" s="333">
        <v>0</v>
      </c>
      <c r="J24" s="333">
        <v>0</v>
      </c>
      <c r="K24" s="333">
        <v>0</v>
      </c>
      <c r="L24" s="333">
        <v>0</v>
      </c>
      <c r="M24" s="333"/>
      <c r="N24" s="333">
        <v>0</v>
      </c>
      <c r="O24" s="333">
        <v>0</v>
      </c>
      <c r="P24" s="333">
        <v>0</v>
      </c>
      <c r="Q24" s="333">
        <v>33640</v>
      </c>
      <c r="R24" s="333">
        <v>29600</v>
      </c>
      <c r="S24" s="333">
        <v>2050</v>
      </c>
      <c r="T24" s="333">
        <v>1550</v>
      </c>
      <c r="U24" s="333">
        <v>440</v>
      </c>
      <c r="V24" s="333">
        <v>0</v>
      </c>
      <c r="W24" s="333">
        <v>1134</v>
      </c>
      <c r="X24" s="333">
        <v>476</v>
      </c>
      <c r="Y24" s="333">
        <v>0</v>
      </c>
      <c r="Z24" s="335">
        <v>188780</v>
      </c>
      <c r="AA24" s="335"/>
      <c r="AB24" s="333"/>
      <c r="AC24" s="333">
        <v>188780</v>
      </c>
    </row>
    <row r="25" spans="1:29" ht="12.75">
      <c r="A25" s="333"/>
      <c r="B25" s="333"/>
      <c r="C25" s="333"/>
      <c r="D25" s="333"/>
      <c r="E25" s="333">
        <v>0</v>
      </c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5">
        <v>0</v>
      </c>
      <c r="AA25" s="333"/>
      <c r="AB25" s="333"/>
      <c r="AC25" s="333"/>
    </row>
    <row r="26" spans="1:30" ht="12.75">
      <c r="A26" s="332" t="s">
        <v>177</v>
      </c>
      <c r="B26" s="333"/>
      <c r="C26" s="333"/>
      <c r="D26" s="333"/>
      <c r="E26" s="333">
        <v>0</v>
      </c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5">
        <v>0</v>
      </c>
      <c r="AA26" s="333"/>
      <c r="AB26" s="333"/>
      <c r="AC26" s="333"/>
      <c r="AD26">
        <v>4</v>
      </c>
    </row>
    <row r="27" spans="1:29" ht="12.75">
      <c r="A27" s="334" t="s">
        <v>74</v>
      </c>
      <c r="B27" s="333">
        <v>160037</v>
      </c>
      <c r="C27" s="333">
        <v>48780</v>
      </c>
      <c r="D27" s="333">
        <v>208817</v>
      </c>
      <c r="E27" s="333">
        <v>43475</v>
      </c>
      <c r="F27" s="333">
        <v>6000</v>
      </c>
      <c r="G27" s="333"/>
      <c r="H27" s="333">
        <v>780</v>
      </c>
      <c r="I27" s="333"/>
      <c r="J27" s="333"/>
      <c r="K27" s="333"/>
      <c r="L27" s="333"/>
      <c r="M27" s="333"/>
      <c r="N27" s="333"/>
      <c r="O27" s="333"/>
      <c r="P27" s="333"/>
      <c r="Q27" s="333">
        <v>30132</v>
      </c>
      <c r="R27" s="333">
        <v>21093</v>
      </c>
      <c r="S27" s="333">
        <v>5885</v>
      </c>
      <c r="T27" s="333">
        <v>2486</v>
      </c>
      <c r="U27" s="333">
        <v>668</v>
      </c>
      <c r="V27" s="333">
        <v>1865</v>
      </c>
      <c r="W27" s="333">
        <v>2523</v>
      </c>
      <c r="X27" s="333">
        <v>2175</v>
      </c>
      <c r="Y27" s="333"/>
      <c r="Z27" s="335">
        <v>252292</v>
      </c>
      <c r="AA27" s="333"/>
      <c r="AB27" s="333"/>
      <c r="AC27" s="333">
        <v>252292</v>
      </c>
    </row>
    <row r="28" spans="1:30" ht="12.75">
      <c r="A28" s="334" t="s">
        <v>75</v>
      </c>
      <c r="B28" s="345">
        <v>204150</v>
      </c>
      <c r="C28" s="333">
        <v>2960</v>
      </c>
      <c r="D28" s="333">
        <v>207110</v>
      </c>
      <c r="E28" s="333">
        <v>49419</v>
      </c>
      <c r="F28" s="333">
        <v>7000</v>
      </c>
      <c r="G28" s="333"/>
      <c r="H28" s="333">
        <v>936</v>
      </c>
      <c r="I28" s="333"/>
      <c r="J28" s="333"/>
      <c r="K28" s="333"/>
      <c r="L28" s="333"/>
      <c r="M28" s="345"/>
      <c r="N28" s="333"/>
      <c r="O28" s="333">
        <v>160</v>
      </c>
      <c r="P28" s="333"/>
      <c r="Q28" s="333">
        <v>31936</v>
      </c>
      <c r="R28" s="333">
        <v>22157</v>
      </c>
      <c r="S28" s="333">
        <v>5890</v>
      </c>
      <c r="T28" s="333">
        <v>3334</v>
      </c>
      <c r="U28" s="333">
        <v>555</v>
      </c>
      <c r="V28" s="333">
        <v>1538</v>
      </c>
      <c r="W28" s="333">
        <v>5649</v>
      </c>
      <c r="X28" s="333">
        <v>2200</v>
      </c>
      <c r="Y28" s="333"/>
      <c r="Z28" s="335">
        <v>256529</v>
      </c>
      <c r="AA28" s="333"/>
      <c r="AB28" s="333">
        <v>2140</v>
      </c>
      <c r="AC28" s="333">
        <v>258669</v>
      </c>
      <c r="AD28" s="350"/>
    </row>
    <row r="29" spans="1:29" ht="12.75">
      <c r="A29" s="334"/>
      <c r="B29" s="333"/>
      <c r="C29" s="333"/>
      <c r="D29" s="333"/>
      <c r="E29" s="333">
        <v>0</v>
      </c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>
        <v>0</v>
      </c>
      <c r="R29" s="333"/>
      <c r="S29" s="333"/>
      <c r="T29" s="333"/>
      <c r="U29" s="333"/>
      <c r="V29" s="333"/>
      <c r="W29" s="333"/>
      <c r="X29" s="333"/>
      <c r="Y29" s="333"/>
      <c r="Z29" s="335">
        <v>0</v>
      </c>
      <c r="AA29" s="333"/>
      <c r="AB29" s="333"/>
      <c r="AC29" s="333">
        <v>0</v>
      </c>
    </row>
    <row r="30" spans="1:29" ht="12.75">
      <c r="A30" s="334" t="s">
        <v>76</v>
      </c>
      <c r="B30" s="333">
        <v>202304</v>
      </c>
      <c r="C30" s="333">
        <v>2933</v>
      </c>
      <c r="D30" s="333">
        <v>205237</v>
      </c>
      <c r="E30" s="333">
        <v>42351</v>
      </c>
      <c r="F30" s="333">
        <v>7000</v>
      </c>
      <c r="G30" s="333"/>
      <c r="H30" s="333">
        <v>780</v>
      </c>
      <c r="I30" s="333">
        <v>0</v>
      </c>
      <c r="J30" s="333">
        <v>0</v>
      </c>
      <c r="K30" s="333">
        <v>0</v>
      </c>
      <c r="L30" s="333">
        <v>0</v>
      </c>
      <c r="M30" s="333"/>
      <c r="N30" s="333">
        <v>0</v>
      </c>
      <c r="O30" s="333">
        <v>0</v>
      </c>
      <c r="P30" s="333">
        <v>0</v>
      </c>
      <c r="Q30" s="333">
        <v>29873</v>
      </c>
      <c r="R30" s="333">
        <v>20970</v>
      </c>
      <c r="S30" s="333">
        <v>5880</v>
      </c>
      <c r="T30" s="333">
        <v>2280</v>
      </c>
      <c r="U30" s="333">
        <v>743</v>
      </c>
      <c r="V30" s="333"/>
      <c r="W30" s="333">
        <v>2523</v>
      </c>
      <c r="X30" s="333">
        <v>2175</v>
      </c>
      <c r="Y30" s="333">
        <v>0</v>
      </c>
      <c r="Z30" s="335">
        <v>247588</v>
      </c>
      <c r="AA30" s="335"/>
      <c r="AB30" s="333"/>
      <c r="AC30" s="333">
        <v>247588</v>
      </c>
    </row>
    <row r="31" spans="1:29" ht="12.75">
      <c r="A31" s="333"/>
      <c r="B31" s="333"/>
      <c r="C31" s="333"/>
      <c r="D31" s="333"/>
      <c r="E31" s="333">
        <v>0</v>
      </c>
      <c r="F31" s="333">
        <v>0</v>
      </c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5">
        <v>0</v>
      </c>
      <c r="AA31" s="333"/>
      <c r="AB31" s="333"/>
      <c r="AC31" s="333"/>
    </row>
    <row r="32" spans="1:30" ht="12.75">
      <c r="A32" s="332" t="s">
        <v>178</v>
      </c>
      <c r="B32" s="333"/>
      <c r="C32" s="333"/>
      <c r="D32" s="333"/>
      <c r="E32" s="333">
        <v>0</v>
      </c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5">
        <v>0</v>
      </c>
      <c r="AA32" s="333"/>
      <c r="AB32" s="333"/>
      <c r="AC32" s="333"/>
      <c r="AD32">
        <v>5</v>
      </c>
    </row>
    <row r="33" spans="1:29" ht="12.75">
      <c r="A33" s="334" t="s">
        <v>74</v>
      </c>
      <c r="B33" s="335">
        <v>80014</v>
      </c>
      <c r="C33" s="333">
        <v>24389</v>
      </c>
      <c r="D33" s="333">
        <v>104403</v>
      </c>
      <c r="E33" s="333">
        <v>22993</v>
      </c>
      <c r="F33" s="333">
        <v>3354</v>
      </c>
      <c r="G33" s="333"/>
      <c r="H33" s="333">
        <v>360</v>
      </c>
      <c r="I33" s="333"/>
      <c r="J33" s="333"/>
      <c r="K33" s="333"/>
      <c r="L33" s="333"/>
      <c r="M33" s="333"/>
      <c r="N33" s="333"/>
      <c r="O33" s="333"/>
      <c r="P33" s="333"/>
      <c r="Q33" s="333">
        <v>16491</v>
      </c>
      <c r="R33" s="333">
        <v>12762</v>
      </c>
      <c r="S33" s="333">
        <v>2619</v>
      </c>
      <c r="T33" s="333">
        <v>614</v>
      </c>
      <c r="U33" s="333">
        <v>496</v>
      </c>
      <c r="V33" s="333">
        <v>510</v>
      </c>
      <c r="W33" s="333">
        <v>810</v>
      </c>
      <c r="X33" s="333">
        <v>1468</v>
      </c>
      <c r="Y33" s="333"/>
      <c r="Z33" s="335">
        <v>127396</v>
      </c>
      <c r="AA33" s="333"/>
      <c r="AB33" s="333"/>
      <c r="AC33" s="333">
        <v>127396</v>
      </c>
    </row>
    <row r="34" spans="1:29" ht="12.75">
      <c r="A34" s="334" t="s">
        <v>75</v>
      </c>
      <c r="B34" s="335">
        <v>116142</v>
      </c>
      <c r="C34" s="333">
        <v>1684</v>
      </c>
      <c r="D34" s="333">
        <v>117826</v>
      </c>
      <c r="E34" s="333">
        <v>24656</v>
      </c>
      <c r="F34" s="333">
        <v>2500</v>
      </c>
      <c r="G34" s="333"/>
      <c r="H34" s="333">
        <v>360</v>
      </c>
      <c r="I34" s="333"/>
      <c r="J34" s="333"/>
      <c r="K34" s="333"/>
      <c r="L34" s="333"/>
      <c r="M34" s="333"/>
      <c r="N34" s="333"/>
      <c r="O34" s="333">
        <v>100</v>
      </c>
      <c r="P34" s="333"/>
      <c r="Q34" s="333">
        <v>17415</v>
      </c>
      <c r="R34" s="333">
        <v>14000</v>
      </c>
      <c r="S34" s="333">
        <v>2560</v>
      </c>
      <c r="T34" s="333">
        <v>700</v>
      </c>
      <c r="U34" s="333">
        <v>155</v>
      </c>
      <c r="V34" s="333">
        <v>200</v>
      </c>
      <c r="W34" s="333">
        <v>1150</v>
      </c>
      <c r="X34" s="333">
        <v>2931</v>
      </c>
      <c r="Y34" s="333"/>
      <c r="Z34" s="335">
        <v>142482</v>
      </c>
      <c r="AA34" s="333"/>
      <c r="AB34" s="333"/>
      <c r="AC34" s="333">
        <v>142482</v>
      </c>
    </row>
    <row r="35" spans="1:29" ht="12.75">
      <c r="A35" s="334"/>
      <c r="B35" s="335"/>
      <c r="C35" s="333">
        <v>0</v>
      </c>
      <c r="D35" s="333"/>
      <c r="E35" s="333">
        <v>0</v>
      </c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>
        <v>0</v>
      </c>
      <c r="R35" s="333"/>
      <c r="S35" s="333"/>
      <c r="T35" s="333"/>
      <c r="U35" s="333"/>
      <c r="V35" s="333"/>
      <c r="W35" s="333"/>
      <c r="X35" s="333"/>
      <c r="Y35" s="333"/>
      <c r="Z35" s="335">
        <v>0</v>
      </c>
      <c r="AA35" s="333"/>
      <c r="AB35" s="333"/>
      <c r="AC35" s="333">
        <v>0</v>
      </c>
    </row>
    <row r="36" spans="1:29" ht="12.75">
      <c r="A36" s="334" t="s">
        <v>76</v>
      </c>
      <c r="B36" s="333">
        <v>114302</v>
      </c>
      <c r="C36" s="333">
        <v>1657</v>
      </c>
      <c r="D36" s="333">
        <v>115959</v>
      </c>
      <c r="E36" s="333">
        <v>20046</v>
      </c>
      <c r="F36" s="333">
        <v>2500</v>
      </c>
      <c r="G36" s="333">
        <v>0</v>
      </c>
      <c r="H36" s="333">
        <v>360</v>
      </c>
      <c r="I36" s="333">
        <v>0</v>
      </c>
      <c r="J36" s="333">
        <v>0</v>
      </c>
      <c r="K36" s="333">
        <v>0</v>
      </c>
      <c r="L36" s="333">
        <v>0</v>
      </c>
      <c r="M36" s="333"/>
      <c r="N36" s="333">
        <v>0</v>
      </c>
      <c r="O36" s="333">
        <v>0</v>
      </c>
      <c r="P36" s="333">
        <v>0</v>
      </c>
      <c r="Q36" s="333">
        <v>14398</v>
      </c>
      <c r="R36" s="333">
        <v>11063</v>
      </c>
      <c r="S36" s="333">
        <v>2553</v>
      </c>
      <c r="T36" s="333">
        <v>573</v>
      </c>
      <c r="U36" s="345">
        <v>209</v>
      </c>
      <c r="V36" s="333">
        <v>510</v>
      </c>
      <c r="W36" s="333">
        <v>810</v>
      </c>
      <c r="X36" s="333">
        <v>1468</v>
      </c>
      <c r="Y36" s="333">
        <v>0</v>
      </c>
      <c r="Z36" s="335">
        <v>136005</v>
      </c>
      <c r="AA36" s="335"/>
      <c r="AB36" s="333"/>
      <c r="AC36" s="333">
        <v>136005</v>
      </c>
    </row>
    <row r="37" spans="1:29" ht="12.75">
      <c r="A37" s="333"/>
      <c r="B37" s="333"/>
      <c r="C37" s="333"/>
      <c r="D37" s="333"/>
      <c r="E37" s="333">
        <v>0</v>
      </c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5">
        <v>0</v>
      </c>
      <c r="AA37" s="333"/>
      <c r="AB37" s="333"/>
      <c r="AC37" s="333"/>
    </row>
    <row r="38" spans="1:30" ht="12.75">
      <c r="A38" s="332" t="s">
        <v>179</v>
      </c>
      <c r="B38" s="335"/>
      <c r="C38" s="333"/>
      <c r="D38" s="333"/>
      <c r="E38" s="333">
        <v>0</v>
      </c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5">
        <v>0</v>
      </c>
      <c r="AA38" s="333"/>
      <c r="AB38" s="333"/>
      <c r="AC38" s="333"/>
      <c r="AD38">
        <v>6</v>
      </c>
    </row>
    <row r="39" spans="1:29" ht="12.75">
      <c r="A39" s="334" t="s">
        <v>74</v>
      </c>
      <c r="B39" s="335">
        <v>76889</v>
      </c>
      <c r="C39" s="333">
        <v>23436</v>
      </c>
      <c r="D39" s="333">
        <v>100325</v>
      </c>
      <c r="E39" s="333">
        <v>4676</v>
      </c>
      <c r="F39" s="333">
        <v>1300</v>
      </c>
      <c r="G39" s="333"/>
      <c r="H39" s="333">
        <v>420</v>
      </c>
      <c r="I39" s="333"/>
      <c r="J39" s="333"/>
      <c r="K39" s="333"/>
      <c r="L39" s="333"/>
      <c r="M39" s="333"/>
      <c r="N39" s="333"/>
      <c r="O39" s="333"/>
      <c r="P39" s="333"/>
      <c r="Q39" s="333">
        <v>150</v>
      </c>
      <c r="R39" s="333"/>
      <c r="S39" s="333"/>
      <c r="T39" s="333"/>
      <c r="U39" s="333">
        <v>150</v>
      </c>
      <c r="V39" s="333">
        <v>1215</v>
      </c>
      <c r="W39" s="333">
        <v>1302</v>
      </c>
      <c r="X39" s="333">
        <v>289</v>
      </c>
      <c r="Y39" s="333"/>
      <c r="Z39" s="335">
        <v>105001</v>
      </c>
      <c r="AA39" s="333"/>
      <c r="AB39" s="333"/>
      <c r="AC39" s="333">
        <v>105001</v>
      </c>
    </row>
    <row r="40" spans="1:29" ht="12.75">
      <c r="A40" s="334" t="s">
        <v>75</v>
      </c>
      <c r="B40" s="335">
        <v>108433</v>
      </c>
      <c r="C40" s="333">
        <v>1572</v>
      </c>
      <c r="D40" s="333">
        <v>110005</v>
      </c>
      <c r="E40" s="333">
        <v>7074</v>
      </c>
      <c r="F40" s="333">
        <v>2000</v>
      </c>
      <c r="G40" s="333"/>
      <c r="H40" s="333">
        <v>504</v>
      </c>
      <c r="I40" s="333"/>
      <c r="J40" s="333"/>
      <c r="K40" s="333"/>
      <c r="L40" s="333"/>
      <c r="M40" s="333"/>
      <c r="N40" s="333"/>
      <c r="O40" s="333"/>
      <c r="P40" s="333"/>
      <c r="Q40" s="333">
        <v>150</v>
      </c>
      <c r="R40" s="333"/>
      <c r="S40" s="333"/>
      <c r="T40" s="333"/>
      <c r="U40" s="333">
        <v>150</v>
      </c>
      <c r="V40" s="333">
        <v>1215</v>
      </c>
      <c r="W40" s="333">
        <v>2383</v>
      </c>
      <c r="X40" s="333">
        <v>822</v>
      </c>
      <c r="Y40" s="333"/>
      <c r="Z40" s="335">
        <v>117079</v>
      </c>
      <c r="AA40" s="333"/>
      <c r="AB40" s="333"/>
      <c r="AC40" s="333">
        <v>117079</v>
      </c>
    </row>
    <row r="41" spans="1:29" ht="12.75">
      <c r="A41" s="334"/>
      <c r="B41" s="335">
        <v>0</v>
      </c>
      <c r="C41" s="333">
        <v>0</v>
      </c>
      <c r="D41" s="333"/>
      <c r="E41" s="333">
        <v>0</v>
      </c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>
        <v>0</v>
      </c>
      <c r="R41" s="333"/>
      <c r="S41" s="333"/>
      <c r="T41" s="333"/>
      <c r="U41" s="333"/>
      <c r="V41" s="333"/>
      <c r="W41" s="333"/>
      <c r="X41" s="333"/>
      <c r="Y41" s="333"/>
      <c r="Z41" s="335">
        <v>0</v>
      </c>
      <c r="AA41" s="333"/>
      <c r="AB41" s="333"/>
      <c r="AC41" s="333">
        <v>0</v>
      </c>
    </row>
    <row r="42" spans="1:29" ht="12.75">
      <c r="A42" s="334" t="s">
        <v>76</v>
      </c>
      <c r="B42" s="333">
        <v>106377</v>
      </c>
      <c r="C42" s="333">
        <v>1542</v>
      </c>
      <c r="D42" s="333">
        <v>107919</v>
      </c>
      <c r="E42" s="333">
        <v>3572</v>
      </c>
      <c r="F42" s="333">
        <v>2000</v>
      </c>
      <c r="G42" s="333">
        <v>0</v>
      </c>
      <c r="H42" s="333">
        <v>420</v>
      </c>
      <c r="I42" s="333">
        <v>0</v>
      </c>
      <c r="J42" s="333">
        <v>0</v>
      </c>
      <c r="K42" s="333">
        <v>0</v>
      </c>
      <c r="L42" s="333">
        <v>0</v>
      </c>
      <c r="M42" s="333"/>
      <c r="N42" s="333">
        <v>0</v>
      </c>
      <c r="O42" s="333">
        <v>0</v>
      </c>
      <c r="P42" s="333">
        <v>0</v>
      </c>
      <c r="Q42" s="333">
        <v>61</v>
      </c>
      <c r="R42" s="333">
        <v>0</v>
      </c>
      <c r="S42" s="333">
        <v>0</v>
      </c>
      <c r="T42" s="333">
        <v>0</v>
      </c>
      <c r="U42" s="333">
        <v>61</v>
      </c>
      <c r="V42" s="333"/>
      <c r="W42" s="333">
        <v>802</v>
      </c>
      <c r="X42" s="333">
        <v>289</v>
      </c>
      <c r="Y42" s="333">
        <v>0</v>
      </c>
      <c r="Z42" s="335">
        <v>111491</v>
      </c>
      <c r="AA42" s="335"/>
      <c r="AB42" s="333"/>
      <c r="AC42" s="333">
        <v>111491</v>
      </c>
    </row>
    <row r="43" spans="1:29" ht="12.75">
      <c r="A43" s="333"/>
      <c r="B43" s="333"/>
      <c r="C43" s="333"/>
      <c r="D43" s="333"/>
      <c r="E43" s="333">
        <v>0</v>
      </c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5">
        <v>0</v>
      </c>
      <c r="AA43" s="333"/>
      <c r="AB43" s="333"/>
      <c r="AC43" s="333"/>
    </row>
    <row r="44" spans="1:30" ht="12.75">
      <c r="A44" s="332" t="s">
        <v>180</v>
      </c>
      <c r="B44" s="333"/>
      <c r="C44" s="333"/>
      <c r="D44" s="333"/>
      <c r="E44" s="333">
        <v>0</v>
      </c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5">
        <v>0</v>
      </c>
      <c r="AA44" s="333"/>
      <c r="AB44" s="333"/>
      <c r="AC44" s="333"/>
      <c r="AD44">
        <v>7</v>
      </c>
    </row>
    <row r="45" spans="1:29" ht="12.75">
      <c r="A45" s="334" t="s">
        <v>74</v>
      </c>
      <c r="B45" s="333">
        <v>262059</v>
      </c>
      <c r="C45" s="333">
        <v>79876</v>
      </c>
      <c r="D45" s="333">
        <v>341935</v>
      </c>
      <c r="E45" s="333">
        <v>52539</v>
      </c>
      <c r="F45" s="333">
        <v>18733</v>
      </c>
      <c r="G45" s="333"/>
      <c r="H45" s="333">
        <v>600</v>
      </c>
      <c r="I45" s="333"/>
      <c r="J45" s="333"/>
      <c r="K45" s="333"/>
      <c r="L45" s="333"/>
      <c r="M45" s="333"/>
      <c r="N45" s="333"/>
      <c r="O45" s="333"/>
      <c r="P45" s="333"/>
      <c r="Q45" s="333">
        <v>22815</v>
      </c>
      <c r="R45" s="337">
        <v>15205</v>
      </c>
      <c r="S45" s="333">
        <v>4600</v>
      </c>
      <c r="T45" s="333">
        <v>2100</v>
      </c>
      <c r="U45" s="333">
        <v>910</v>
      </c>
      <c r="V45" s="333"/>
      <c r="W45" s="333">
        <v>1700</v>
      </c>
      <c r="X45" s="333">
        <v>8691</v>
      </c>
      <c r="Y45" s="333"/>
      <c r="Z45" s="335">
        <v>394474</v>
      </c>
      <c r="AA45" s="333"/>
      <c r="AB45" s="333"/>
      <c r="AC45" s="333">
        <v>394474</v>
      </c>
    </row>
    <row r="46" spans="1:29" ht="12.75">
      <c r="A46" s="334" t="s">
        <v>75</v>
      </c>
      <c r="B46" s="345">
        <v>380360</v>
      </c>
      <c r="C46" s="333">
        <v>5515</v>
      </c>
      <c r="D46" s="333">
        <v>385875</v>
      </c>
      <c r="E46" s="333">
        <v>62548</v>
      </c>
      <c r="F46" s="337">
        <v>18733</v>
      </c>
      <c r="G46" s="333"/>
      <c r="H46" s="333">
        <v>600</v>
      </c>
      <c r="I46" s="333"/>
      <c r="J46" s="333"/>
      <c r="K46" s="333"/>
      <c r="L46" s="333"/>
      <c r="M46" s="333"/>
      <c r="N46" s="333">
        <v>10000</v>
      </c>
      <c r="O46" s="333"/>
      <c r="P46" s="333"/>
      <c r="Q46" s="333">
        <v>27215</v>
      </c>
      <c r="R46" s="333">
        <v>18000</v>
      </c>
      <c r="S46" s="333">
        <v>5249</v>
      </c>
      <c r="T46" s="333">
        <v>2976</v>
      </c>
      <c r="U46" s="333">
        <v>990</v>
      </c>
      <c r="V46" s="333"/>
      <c r="W46" s="333">
        <v>3000</v>
      </c>
      <c r="X46" s="333">
        <v>3000</v>
      </c>
      <c r="Y46" s="333"/>
      <c r="Z46" s="335">
        <v>448423</v>
      </c>
      <c r="AA46" s="333"/>
      <c r="AB46" s="337">
        <v>1300</v>
      </c>
      <c r="AC46" s="333">
        <v>449723</v>
      </c>
    </row>
    <row r="47" spans="1:29" ht="12.75">
      <c r="A47" s="334"/>
      <c r="B47" s="333">
        <v>0</v>
      </c>
      <c r="C47" s="333">
        <v>0</v>
      </c>
      <c r="D47" s="333"/>
      <c r="E47" s="333">
        <v>0</v>
      </c>
      <c r="F47" s="337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>
        <v>0</v>
      </c>
      <c r="R47" s="333"/>
      <c r="S47" s="333"/>
      <c r="T47" s="333"/>
      <c r="U47" s="333"/>
      <c r="V47" s="333"/>
      <c r="W47" s="333"/>
      <c r="X47" s="333"/>
      <c r="Y47" s="333"/>
      <c r="Z47" s="335">
        <v>0</v>
      </c>
      <c r="AA47" s="333"/>
      <c r="AB47" s="333"/>
      <c r="AC47" s="333">
        <v>0</v>
      </c>
    </row>
    <row r="48" spans="1:31" ht="12.75">
      <c r="A48" s="334" t="s">
        <v>76</v>
      </c>
      <c r="B48" s="333">
        <v>372554</v>
      </c>
      <c r="C48" s="333">
        <v>5402</v>
      </c>
      <c r="D48" s="333">
        <v>377956</v>
      </c>
      <c r="E48" s="333">
        <v>52548</v>
      </c>
      <c r="F48" s="333">
        <v>18733</v>
      </c>
      <c r="G48" s="333">
        <v>0</v>
      </c>
      <c r="H48" s="333">
        <v>600</v>
      </c>
      <c r="I48" s="333">
        <v>0</v>
      </c>
      <c r="J48" s="333">
        <v>0</v>
      </c>
      <c r="K48" s="333">
        <v>0</v>
      </c>
      <c r="L48" s="333">
        <v>0</v>
      </c>
      <c r="M48" s="333"/>
      <c r="N48" s="333">
        <v>0</v>
      </c>
      <c r="O48" s="333">
        <v>0</v>
      </c>
      <c r="P48" s="333">
        <v>0</v>
      </c>
      <c r="Q48" s="333">
        <v>27215</v>
      </c>
      <c r="R48" s="333">
        <v>18000</v>
      </c>
      <c r="S48" s="333">
        <v>5249</v>
      </c>
      <c r="T48" s="333">
        <v>2976</v>
      </c>
      <c r="U48" s="333">
        <v>990</v>
      </c>
      <c r="V48" s="333"/>
      <c r="W48" s="333">
        <v>3000</v>
      </c>
      <c r="X48" s="345">
        <v>3000</v>
      </c>
      <c r="Y48" s="333">
        <v>0</v>
      </c>
      <c r="Z48" s="335">
        <v>430504</v>
      </c>
      <c r="AA48" s="335"/>
      <c r="AB48" s="333"/>
      <c r="AC48" s="333">
        <v>430504</v>
      </c>
      <c r="AE48" s="350"/>
    </row>
    <row r="49" spans="1:29" ht="12.75">
      <c r="A49" s="333"/>
      <c r="B49" s="333"/>
      <c r="C49" s="333"/>
      <c r="D49" s="333"/>
      <c r="E49" s="333">
        <v>0</v>
      </c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5">
        <v>0</v>
      </c>
      <c r="AA49" s="333"/>
      <c r="AB49" s="333"/>
      <c r="AC49" s="333"/>
    </row>
    <row r="50" spans="1:30" ht="12.75">
      <c r="A50" s="332" t="s">
        <v>77</v>
      </c>
      <c r="B50" s="345"/>
      <c r="C50" s="333"/>
      <c r="D50" s="333"/>
      <c r="E50" s="333">
        <v>0</v>
      </c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5">
        <v>0</v>
      </c>
      <c r="AA50" s="333"/>
      <c r="AB50" s="333"/>
      <c r="AC50" s="333"/>
      <c r="AD50">
        <v>8</v>
      </c>
    </row>
    <row r="51" spans="1:29" ht="12.75">
      <c r="A51" s="334" t="s">
        <v>74</v>
      </c>
      <c r="B51" s="335">
        <v>96394</v>
      </c>
      <c r="C51" s="333">
        <v>29381</v>
      </c>
      <c r="D51" s="333">
        <v>125775</v>
      </c>
      <c r="E51" s="333">
        <v>31648</v>
      </c>
      <c r="F51" s="333"/>
      <c r="G51" s="333"/>
      <c r="H51" s="333">
        <v>200</v>
      </c>
      <c r="I51" s="333"/>
      <c r="J51" s="333"/>
      <c r="K51" s="333"/>
      <c r="L51" s="333"/>
      <c r="M51" s="333"/>
      <c r="N51" s="333"/>
      <c r="O51" s="333">
        <v>300</v>
      </c>
      <c r="P51" s="333"/>
      <c r="Q51" s="333">
        <v>26415</v>
      </c>
      <c r="R51" s="333">
        <v>18146</v>
      </c>
      <c r="S51" s="333">
        <v>5601</v>
      </c>
      <c r="T51" s="333">
        <v>1515</v>
      </c>
      <c r="U51" s="333">
        <v>1153</v>
      </c>
      <c r="V51" s="333"/>
      <c r="W51" s="333">
        <v>2466</v>
      </c>
      <c r="X51" s="333">
        <v>2267</v>
      </c>
      <c r="Y51" s="333">
        <v>0</v>
      </c>
      <c r="Z51" s="335">
        <v>157423</v>
      </c>
      <c r="AA51" s="333"/>
      <c r="AB51" s="333">
        <v>0</v>
      </c>
      <c r="AC51" s="333">
        <v>157423</v>
      </c>
    </row>
    <row r="52" spans="1:31" ht="12.75">
      <c r="A52" s="334" t="s">
        <v>75</v>
      </c>
      <c r="B52" s="335">
        <v>152130</v>
      </c>
      <c r="C52" s="333">
        <v>2206</v>
      </c>
      <c r="D52" s="333">
        <v>154336</v>
      </c>
      <c r="E52" s="333">
        <v>145652</v>
      </c>
      <c r="F52" s="333"/>
      <c r="G52" s="333"/>
      <c r="H52" s="333">
        <v>200</v>
      </c>
      <c r="I52" s="333"/>
      <c r="J52" s="333">
        <v>800</v>
      </c>
      <c r="K52" s="333"/>
      <c r="L52" s="333"/>
      <c r="M52" s="333"/>
      <c r="N52" s="333">
        <v>103000</v>
      </c>
      <c r="O52" s="333">
        <v>300</v>
      </c>
      <c r="P52" s="333"/>
      <c r="Q52" s="333">
        <v>26716</v>
      </c>
      <c r="R52" s="333">
        <v>19596</v>
      </c>
      <c r="S52" s="333">
        <v>5015</v>
      </c>
      <c r="T52" s="333">
        <v>1305</v>
      </c>
      <c r="U52" s="333">
        <v>800</v>
      </c>
      <c r="V52" s="333"/>
      <c r="W52" s="333">
        <v>11017</v>
      </c>
      <c r="X52" s="333">
        <v>3619</v>
      </c>
      <c r="Y52" s="333">
        <v>15926</v>
      </c>
      <c r="Z52" s="335">
        <v>315914</v>
      </c>
      <c r="AA52" s="333"/>
      <c r="AB52" s="333">
        <v>65200</v>
      </c>
      <c r="AC52" s="333">
        <v>381114</v>
      </c>
      <c r="AD52" s="350"/>
      <c r="AE52" s="350"/>
    </row>
    <row r="53" spans="1:29" ht="12.75">
      <c r="A53" s="334"/>
      <c r="B53" s="335">
        <v>0</v>
      </c>
      <c r="C53" s="333">
        <v>0</v>
      </c>
      <c r="D53" s="333"/>
      <c r="E53" s="333">
        <v>0</v>
      </c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>
        <v>0</v>
      </c>
      <c r="R53" s="333"/>
      <c r="S53" s="333"/>
      <c r="T53" s="333"/>
      <c r="U53" s="333"/>
      <c r="V53" s="333"/>
      <c r="W53" s="333"/>
      <c r="X53" s="333"/>
      <c r="Y53" s="333"/>
      <c r="Z53" s="335">
        <v>0</v>
      </c>
      <c r="AA53" s="333"/>
      <c r="AB53" s="333"/>
      <c r="AC53" s="333">
        <v>0</v>
      </c>
    </row>
    <row r="54" spans="1:29" ht="12.75">
      <c r="A54" s="334" t="s">
        <v>76</v>
      </c>
      <c r="B54" s="333">
        <v>149162</v>
      </c>
      <c r="C54" s="333">
        <v>2163</v>
      </c>
      <c r="D54" s="333">
        <v>151325</v>
      </c>
      <c r="E54" s="333">
        <v>31949</v>
      </c>
      <c r="F54" s="333">
        <v>0</v>
      </c>
      <c r="G54" s="333">
        <v>0</v>
      </c>
      <c r="H54" s="333">
        <v>200</v>
      </c>
      <c r="I54" s="333">
        <v>0</v>
      </c>
      <c r="J54" s="333">
        <v>0</v>
      </c>
      <c r="K54" s="333">
        <v>0</v>
      </c>
      <c r="L54" s="333">
        <v>0</v>
      </c>
      <c r="M54" s="333"/>
      <c r="N54" s="333">
        <v>0</v>
      </c>
      <c r="O54" s="333">
        <v>300</v>
      </c>
      <c r="P54" s="333">
        <v>0</v>
      </c>
      <c r="Q54" s="333">
        <v>26716</v>
      </c>
      <c r="R54" s="333">
        <v>19596</v>
      </c>
      <c r="S54" s="333">
        <v>5015</v>
      </c>
      <c r="T54" s="333">
        <v>1305</v>
      </c>
      <c r="U54" s="333">
        <v>800</v>
      </c>
      <c r="V54" s="333">
        <v>0</v>
      </c>
      <c r="W54" s="333">
        <v>2466</v>
      </c>
      <c r="X54" s="333">
        <v>2267</v>
      </c>
      <c r="Y54" s="333">
        <v>15926</v>
      </c>
      <c r="Z54" s="335">
        <v>199200</v>
      </c>
      <c r="AA54" s="335"/>
      <c r="AB54" s="333"/>
      <c r="AC54" s="333">
        <v>199200</v>
      </c>
    </row>
    <row r="55" spans="1:29" ht="12.75">
      <c r="A55" s="334"/>
      <c r="B55" s="333"/>
      <c r="C55" s="333"/>
      <c r="D55" s="333"/>
      <c r="E55" s="333">
        <v>0</v>
      </c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5">
        <v>0</v>
      </c>
      <c r="AA55" s="335"/>
      <c r="AB55" s="333"/>
      <c r="AC55" s="333"/>
    </row>
    <row r="56" spans="1:30" ht="12.75">
      <c r="A56" s="332" t="s">
        <v>78</v>
      </c>
      <c r="B56" s="339"/>
      <c r="C56" s="339"/>
      <c r="D56" s="339"/>
      <c r="E56" s="333">
        <v>0</v>
      </c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5">
        <v>0</v>
      </c>
      <c r="AA56" s="333"/>
      <c r="AB56" s="333"/>
      <c r="AC56" s="333"/>
      <c r="AD56">
        <v>9</v>
      </c>
    </row>
    <row r="57" spans="1:29" ht="12.75">
      <c r="A57" s="334" t="s">
        <v>74</v>
      </c>
      <c r="B57" s="335">
        <v>32422</v>
      </c>
      <c r="C57" s="333">
        <v>9882</v>
      </c>
      <c r="D57" s="333">
        <v>42304</v>
      </c>
      <c r="E57" s="333">
        <v>2686</v>
      </c>
      <c r="F57" s="333">
        <v>1896</v>
      </c>
      <c r="G57" s="333"/>
      <c r="H57" s="333">
        <v>80</v>
      </c>
      <c r="I57" s="333"/>
      <c r="J57" s="333"/>
      <c r="K57" s="333"/>
      <c r="L57" s="333"/>
      <c r="M57" s="333"/>
      <c r="N57" s="333"/>
      <c r="O57" s="333"/>
      <c r="P57" s="333"/>
      <c r="Q57" s="333">
        <v>0</v>
      </c>
      <c r="R57" s="333"/>
      <c r="S57" s="333"/>
      <c r="T57" s="333"/>
      <c r="U57" s="333"/>
      <c r="V57" s="333"/>
      <c r="W57" s="333">
        <v>560</v>
      </c>
      <c r="X57" s="333">
        <v>150</v>
      </c>
      <c r="Y57" s="333"/>
      <c r="Z57" s="335">
        <v>44990</v>
      </c>
      <c r="AA57" s="333"/>
      <c r="AB57" s="333">
        <v>0</v>
      </c>
      <c r="AC57" s="333">
        <v>44990</v>
      </c>
    </row>
    <row r="58" spans="1:29" ht="12.75">
      <c r="A58" s="334" t="s">
        <v>75</v>
      </c>
      <c r="B58" s="335">
        <v>44946</v>
      </c>
      <c r="C58" s="333">
        <v>652</v>
      </c>
      <c r="D58" s="333">
        <v>45598</v>
      </c>
      <c r="E58" s="333">
        <v>3118</v>
      </c>
      <c r="F58" s="333">
        <v>1600</v>
      </c>
      <c r="G58" s="333"/>
      <c r="H58" s="333">
        <v>80</v>
      </c>
      <c r="I58" s="333"/>
      <c r="J58" s="333"/>
      <c r="K58" s="333"/>
      <c r="L58" s="333"/>
      <c r="M58" s="333"/>
      <c r="N58" s="333"/>
      <c r="O58" s="333"/>
      <c r="P58" s="333"/>
      <c r="Q58" s="333">
        <v>0</v>
      </c>
      <c r="R58" s="333"/>
      <c r="S58" s="333"/>
      <c r="T58" s="333"/>
      <c r="U58" s="333"/>
      <c r="V58" s="333"/>
      <c r="W58" s="333">
        <v>1318</v>
      </c>
      <c r="X58" s="333">
        <v>120</v>
      </c>
      <c r="Y58" s="333"/>
      <c r="Z58" s="335">
        <v>48716</v>
      </c>
      <c r="AA58" s="333"/>
      <c r="AB58" s="333">
        <v>6000</v>
      </c>
      <c r="AC58" s="333">
        <v>54716</v>
      </c>
    </row>
    <row r="59" spans="1:29" ht="12.75">
      <c r="A59" s="334"/>
      <c r="B59" s="335">
        <v>0</v>
      </c>
      <c r="C59" s="333">
        <v>0</v>
      </c>
      <c r="D59" s="333"/>
      <c r="E59" s="333">
        <v>0</v>
      </c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>
        <v>0</v>
      </c>
      <c r="R59" s="333"/>
      <c r="S59" s="333"/>
      <c r="T59" s="333"/>
      <c r="U59" s="333"/>
      <c r="V59" s="333"/>
      <c r="W59" s="333"/>
      <c r="X59" s="333"/>
      <c r="Y59" s="333"/>
      <c r="Z59" s="335">
        <v>0</v>
      </c>
      <c r="AA59" s="333"/>
      <c r="AB59" s="333"/>
      <c r="AC59" s="333">
        <v>0</v>
      </c>
    </row>
    <row r="60" spans="1:29" ht="12.75">
      <c r="A60" s="334" t="s">
        <v>76</v>
      </c>
      <c r="B60" s="333">
        <v>44394</v>
      </c>
      <c r="C60" s="333">
        <v>644</v>
      </c>
      <c r="D60" s="333">
        <v>45038</v>
      </c>
      <c r="E60" s="333">
        <v>2460</v>
      </c>
      <c r="F60" s="333">
        <v>1600</v>
      </c>
      <c r="G60" s="333">
        <v>0</v>
      </c>
      <c r="H60" s="333">
        <v>80</v>
      </c>
      <c r="I60" s="333"/>
      <c r="J60" s="333"/>
      <c r="K60" s="333"/>
      <c r="L60" s="333"/>
      <c r="M60" s="333"/>
      <c r="N60" s="333">
        <v>0</v>
      </c>
      <c r="O60" s="333">
        <v>0</v>
      </c>
      <c r="P60" s="333">
        <v>0</v>
      </c>
      <c r="Q60" s="333">
        <v>70</v>
      </c>
      <c r="R60" s="333">
        <v>0</v>
      </c>
      <c r="S60" s="333">
        <v>0</v>
      </c>
      <c r="T60" s="333">
        <v>0</v>
      </c>
      <c r="U60" s="345">
        <v>70</v>
      </c>
      <c r="V60" s="333">
        <v>0</v>
      </c>
      <c r="W60" s="333">
        <v>560</v>
      </c>
      <c r="X60" s="333">
        <v>150</v>
      </c>
      <c r="Y60" s="333">
        <v>0</v>
      </c>
      <c r="Z60" s="335">
        <v>47498</v>
      </c>
      <c r="AA60" s="335"/>
      <c r="AB60" s="333"/>
      <c r="AC60" s="333">
        <v>47498</v>
      </c>
    </row>
    <row r="61" spans="1:29" ht="12.75">
      <c r="A61" s="333"/>
      <c r="B61" s="333"/>
      <c r="C61" s="333"/>
      <c r="D61" s="333"/>
      <c r="E61" s="333">
        <v>0</v>
      </c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5">
        <v>0</v>
      </c>
      <c r="AA61" s="333"/>
      <c r="AB61" s="333"/>
      <c r="AC61" s="333"/>
    </row>
    <row r="62" spans="1:30" ht="12.75">
      <c r="A62" s="332" t="s">
        <v>79</v>
      </c>
      <c r="B62" s="349"/>
      <c r="C62" s="349"/>
      <c r="D62" s="349"/>
      <c r="E62" s="333">
        <v>0</v>
      </c>
      <c r="F62" s="333"/>
      <c r="G62" s="333"/>
      <c r="H62" s="333"/>
      <c r="I62" s="333"/>
      <c r="J62" s="333"/>
      <c r="K62" s="333"/>
      <c r="L62" s="337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5">
        <v>0</v>
      </c>
      <c r="AA62" s="333"/>
      <c r="AB62" s="333"/>
      <c r="AC62" s="333"/>
      <c r="AD62">
        <v>10</v>
      </c>
    </row>
    <row r="63" spans="1:29" ht="12.75">
      <c r="A63" s="334" t="s">
        <v>80</v>
      </c>
      <c r="B63" s="335">
        <v>95169</v>
      </c>
      <c r="C63" s="333">
        <v>29008</v>
      </c>
      <c r="D63" s="333">
        <v>124177</v>
      </c>
      <c r="E63" s="333">
        <v>19717</v>
      </c>
      <c r="F63" s="333"/>
      <c r="G63" s="333"/>
      <c r="H63" s="333">
        <v>400</v>
      </c>
      <c r="I63" s="333"/>
      <c r="J63" s="333"/>
      <c r="K63" s="333"/>
      <c r="L63" s="333"/>
      <c r="M63" s="333"/>
      <c r="N63" s="333"/>
      <c r="O63" s="333"/>
      <c r="P63" s="333"/>
      <c r="Q63" s="333">
        <v>17535</v>
      </c>
      <c r="R63" s="337">
        <v>12024</v>
      </c>
      <c r="S63" s="333">
        <v>3750</v>
      </c>
      <c r="T63" s="333">
        <v>1409</v>
      </c>
      <c r="U63" s="333">
        <v>352</v>
      </c>
      <c r="V63" s="333"/>
      <c r="W63" s="333">
        <v>490</v>
      </c>
      <c r="X63" s="333">
        <v>1292</v>
      </c>
      <c r="Y63" s="333">
        <v>6898</v>
      </c>
      <c r="Z63" s="335">
        <v>150792</v>
      </c>
      <c r="AA63" s="333"/>
      <c r="AB63" s="333"/>
      <c r="AC63" s="333">
        <v>150792</v>
      </c>
    </row>
    <row r="64" spans="1:29" ht="12.75">
      <c r="A64" s="334" t="s">
        <v>75</v>
      </c>
      <c r="B64" s="340">
        <v>79240</v>
      </c>
      <c r="C64" s="333">
        <v>1149</v>
      </c>
      <c r="D64" s="333">
        <v>80389</v>
      </c>
      <c r="E64" s="333">
        <v>18405</v>
      </c>
      <c r="F64" s="333"/>
      <c r="G64" s="333"/>
      <c r="H64" s="333">
        <v>192</v>
      </c>
      <c r="I64" s="333"/>
      <c r="J64" s="333"/>
      <c r="K64" s="333"/>
      <c r="L64" s="333"/>
      <c r="M64" s="333"/>
      <c r="N64" s="333"/>
      <c r="O64" s="333"/>
      <c r="P64" s="333"/>
      <c r="Q64" s="333">
        <v>15300</v>
      </c>
      <c r="R64" s="337">
        <v>10000</v>
      </c>
      <c r="S64" s="333">
        <v>3700</v>
      </c>
      <c r="T64" s="333">
        <v>1200</v>
      </c>
      <c r="U64" s="333">
        <v>400</v>
      </c>
      <c r="V64" s="333"/>
      <c r="W64" s="333">
        <v>1779</v>
      </c>
      <c r="X64" s="333">
        <v>1134</v>
      </c>
      <c r="Y64" s="333"/>
      <c r="Z64" s="335">
        <v>98794</v>
      </c>
      <c r="AA64" s="333"/>
      <c r="AB64" s="333">
        <v>6000</v>
      </c>
      <c r="AC64" s="333">
        <v>104794</v>
      </c>
    </row>
    <row r="65" spans="1:29" ht="12.75">
      <c r="A65" s="334"/>
      <c r="B65" s="335">
        <v>0</v>
      </c>
      <c r="C65" s="333">
        <v>0</v>
      </c>
      <c r="D65" s="333"/>
      <c r="E65" s="333">
        <v>0</v>
      </c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>
        <v>0</v>
      </c>
      <c r="R65" s="337"/>
      <c r="S65" s="333"/>
      <c r="T65" s="333">
        <v>0</v>
      </c>
      <c r="U65" s="333"/>
      <c r="V65" s="333"/>
      <c r="W65" s="333"/>
      <c r="X65" s="333"/>
      <c r="Y65" s="333"/>
      <c r="Z65" s="335">
        <v>0</v>
      </c>
      <c r="AA65" s="333"/>
      <c r="AB65" s="333"/>
      <c r="AC65" s="333">
        <v>0</v>
      </c>
    </row>
    <row r="66" spans="1:29" ht="12.75">
      <c r="A66" s="334" t="s">
        <v>76</v>
      </c>
      <c r="B66" s="333">
        <v>77318</v>
      </c>
      <c r="C66" s="333">
        <v>1121</v>
      </c>
      <c r="D66" s="333">
        <v>78439</v>
      </c>
      <c r="E66" s="333">
        <v>17116</v>
      </c>
      <c r="F66" s="333">
        <v>0</v>
      </c>
      <c r="G66" s="333">
        <v>0</v>
      </c>
      <c r="H66" s="333">
        <v>192</v>
      </c>
      <c r="I66" s="333">
        <v>0</v>
      </c>
      <c r="J66" s="333">
        <v>0</v>
      </c>
      <c r="K66" s="333">
        <v>0</v>
      </c>
      <c r="L66" s="333">
        <v>0</v>
      </c>
      <c r="M66" s="333"/>
      <c r="N66" s="333">
        <v>0</v>
      </c>
      <c r="O66" s="333">
        <v>0</v>
      </c>
      <c r="P66" s="333">
        <v>0</v>
      </c>
      <c r="Q66" s="333">
        <v>15300</v>
      </c>
      <c r="R66" s="333">
        <v>10000</v>
      </c>
      <c r="S66" s="333">
        <v>3700</v>
      </c>
      <c r="T66" s="345">
        <v>1200</v>
      </c>
      <c r="U66" s="333">
        <v>400</v>
      </c>
      <c r="V66" s="333">
        <v>0</v>
      </c>
      <c r="W66" s="333">
        <v>490</v>
      </c>
      <c r="X66" s="333">
        <v>1134</v>
      </c>
      <c r="Y66" s="333">
        <v>0</v>
      </c>
      <c r="Z66" s="335">
        <v>95555</v>
      </c>
      <c r="AA66" s="335"/>
      <c r="AB66" s="333"/>
      <c r="AC66" s="333">
        <v>95555</v>
      </c>
    </row>
    <row r="67" spans="1:29" ht="12.75">
      <c r="A67" s="333"/>
      <c r="B67" s="333"/>
      <c r="C67" s="333"/>
      <c r="D67" s="333"/>
      <c r="E67" s="333">
        <v>0</v>
      </c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5">
        <v>0</v>
      </c>
      <c r="AA67" s="333"/>
      <c r="AB67" s="333"/>
      <c r="AC67" s="333"/>
    </row>
    <row r="68" spans="1:30" ht="12.75">
      <c r="A68" s="332" t="s">
        <v>81</v>
      </c>
      <c r="B68" s="349"/>
      <c r="C68" s="345"/>
      <c r="D68" s="345"/>
      <c r="E68" s="333">
        <v>0</v>
      </c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5">
        <v>0</v>
      </c>
      <c r="AA68" s="333"/>
      <c r="AB68" s="333"/>
      <c r="AC68" s="333"/>
      <c r="AD68">
        <v>11</v>
      </c>
    </row>
    <row r="69" spans="1:29" ht="12.75">
      <c r="A69" s="334" t="s">
        <v>74</v>
      </c>
      <c r="B69" s="335">
        <v>21203</v>
      </c>
      <c r="C69" s="333">
        <v>6555</v>
      </c>
      <c r="D69" s="333">
        <v>27758</v>
      </c>
      <c r="E69" s="333">
        <v>3221</v>
      </c>
      <c r="F69" s="333"/>
      <c r="G69" s="333"/>
      <c r="H69" s="333">
        <v>400</v>
      </c>
      <c r="I69" s="333"/>
      <c r="J69" s="333"/>
      <c r="K69" s="333">
        <v>0</v>
      </c>
      <c r="L69" s="333"/>
      <c r="M69" s="333"/>
      <c r="N69" s="333"/>
      <c r="O69" s="333"/>
      <c r="P69" s="333">
        <v>0</v>
      </c>
      <c r="Q69" s="333">
        <v>0</v>
      </c>
      <c r="R69" s="333"/>
      <c r="S69" s="333"/>
      <c r="T69" s="333"/>
      <c r="U69" s="333"/>
      <c r="V69" s="333"/>
      <c r="W69" s="333">
        <v>1821</v>
      </c>
      <c r="X69" s="333">
        <v>1000</v>
      </c>
      <c r="Y69" s="333"/>
      <c r="Z69" s="335">
        <v>30979</v>
      </c>
      <c r="AA69" s="333"/>
      <c r="AB69" s="333">
        <v>3000</v>
      </c>
      <c r="AC69" s="333">
        <v>33979</v>
      </c>
    </row>
    <row r="70" spans="1:29" ht="12.75">
      <c r="A70" s="334" t="s">
        <v>75</v>
      </c>
      <c r="B70" s="335">
        <v>43953</v>
      </c>
      <c r="C70" s="333">
        <v>637</v>
      </c>
      <c r="D70" s="333">
        <v>44590</v>
      </c>
      <c r="E70" s="333">
        <v>3479</v>
      </c>
      <c r="F70" s="333"/>
      <c r="G70" s="333"/>
      <c r="H70" s="333">
        <v>400</v>
      </c>
      <c r="I70" s="333"/>
      <c r="J70" s="333"/>
      <c r="K70" s="333"/>
      <c r="L70" s="333"/>
      <c r="M70" s="333"/>
      <c r="N70" s="333"/>
      <c r="O70" s="333">
        <v>150</v>
      </c>
      <c r="P70" s="333"/>
      <c r="Q70" s="333">
        <v>0</v>
      </c>
      <c r="R70" s="333"/>
      <c r="S70" s="333"/>
      <c r="T70" s="333"/>
      <c r="U70" s="333"/>
      <c r="V70" s="333"/>
      <c r="W70" s="333">
        <v>2009</v>
      </c>
      <c r="X70" s="333">
        <v>920</v>
      </c>
      <c r="Y70" s="333"/>
      <c r="Z70" s="335">
        <v>48069</v>
      </c>
      <c r="AA70" s="333"/>
      <c r="AB70" s="333"/>
      <c r="AC70" s="333">
        <v>48069</v>
      </c>
    </row>
    <row r="71" spans="1:29" ht="12.75">
      <c r="A71" s="334"/>
      <c r="B71" s="335">
        <v>0</v>
      </c>
      <c r="C71" s="333">
        <v>0</v>
      </c>
      <c r="D71" s="333"/>
      <c r="E71" s="333">
        <v>0</v>
      </c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>
        <v>0</v>
      </c>
      <c r="R71" s="333"/>
      <c r="S71" s="333"/>
      <c r="T71" s="333"/>
      <c r="U71" s="333"/>
      <c r="V71" s="333"/>
      <c r="W71" s="333"/>
      <c r="X71" s="333"/>
      <c r="Y71" s="333"/>
      <c r="Z71" s="335">
        <v>0</v>
      </c>
      <c r="AA71" s="333"/>
      <c r="AB71" s="333"/>
      <c r="AC71" s="333">
        <v>0</v>
      </c>
    </row>
    <row r="72" spans="1:29" ht="12.75">
      <c r="A72" s="334" t="s">
        <v>76</v>
      </c>
      <c r="B72" s="333">
        <v>42885</v>
      </c>
      <c r="C72" s="333">
        <v>622</v>
      </c>
      <c r="D72" s="333">
        <v>43507</v>
      </c>
      <c r="E72" s="333">
        <v>3221</v>
      </c>
      <c r="F72" s="333">
        <v>0</v>
      </c>
      <c r="G72" s="333">
        <v>0</v>
      </c>
      <c r="H72" s="333">
        <v>400</v>
      </c>
      <c r="I72" s="333">
        <v>0</v>
      </c>
      <c r="J72" s="333">
        <v>0</v>
      </c>
      <c r="K72" s="333">
        <v>0</v>
      </c>
      <c r="L72" s="333">
        <v>0</v>
      </c>
      <c r="M72" s="333"/>
      <c r="N72" s="333">
        <v>0</v>
      </c>
      <c r="O72" s="333">
        <v>0</v>
      </c>
      <c r="P72" s="333">
        <v>0</v>
      </c>
      <c r="Q72" s="333">
        <v>0</v>
      </c>
      <c r="R72" s="333">
        <v>0</v>
      </c>
      <c r="S72" s="333">
        <v>0</v>
      </c>
      <c r="T72" s="333">
        <v>0</v>
      </c>
      <c r="U72" s="333">
        <v>0</v>
      </c>
      <c r="V72" s="333">
        <v>0</v>
      </c>
      <c r="W72" s="333">
        <v>1821</v>
      </c>
      <c r="X72" s="333">
        <v>1000</v>
      </c>
      <c r="Y72" s="333">
        <v>0</v>
      </c>
      <c r="Z72" s="335">
        <v>46728</v>
      </c>
      <c r="AA72" s="335"/>
      <c r="AB72" s="333"/>
      <c r="AC72" s="333">
        <v>46728</v>
      </c>
    </row>
    <row r="73" spans="1:29" ht="12.75">
      <c r="A73" s="341"/>
      <c r="B73" s="333"/>
      <c r="C73" s="333"/>
      <c r="D73" s="333"/>
      <c r="E73" s="333">
        <v>0</v>
      </c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5">
        <v>0</v>
      </c>
      <c r="AA73" s="333"/>
      <c r="AB73" s="333"/>
      <c r="AC73" s="333"/>
    </row>
    <row r="74" spans="1:30" ht="12.75">
      <c r="A74" s="332" t="s">
        <v>82</v>
      </c>
      <c r="B74" s="345"/>
      <c r="C74" s="333"/>
      <c r="D74" s="333"/>
      <c r="E74" s="333">
        <v>0</v>
      </c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5">
        <v>0</v>
      </c>
      <c r="AA74" s="333"/>
      <c r="AB74" s="333"/>
      <c r="AC74" s="333"/>
      <c r="AD74">
        <v>12</v>
      </c>
    </row>
    <row r="75" spans="1:29" ht="12.75">
      <c r="A75" s="334" t="s">
        <v>74</v>
      </c>
      <c r="B75" s="345">
        <v>375584</v>
      </c>
      <c r="C75" s="333">
        <v>114478</v>
      </c>
      <c r="D75" s="333">
        <v>490062</v>
      </c>
      <c r="E75" s="333">
        <v>145152</v>
      </c>
      <c r="F75" s="333"/>
      <c r="G75" s="333"/>
      <c r="H75" s="333">
        <v>2000</v>
      </c>
      <c r="I75" s="333">
        <v>2000</v>
      </c>
      <c r="J75" s="333"/>
      <c r="K75" s="333"/>
      <c r="L75" s="333"/>
      <c r="M75" s="333"/>
      <c r="N75" s="333"/>
      <c r="O75" s="333">
        <v>400</v>
      </c>
      <c r="P75" s="333"/>
      <c r="Q75" s="333">
        <v>117030</v>
      </c>
      <c r="R75" s="333">
        <v>86630</v>
      </c>
      <c r="S75" s="333">
        <v>21000</v>
      </c>
      <c r="T75" s="333">
        <v>7000</v>
      </c>
      <c r="U75" s="333">
        <v>2400</v>
      </c>
      <c r="V75" s="333"/>
      <c r="W75" s="333">
        <v>17135</v>
      </c>
      <c r="X75" s="333">
        <v>6587</v>
      </c>
      <c r="Y75" s="333">
        <v>22720</v>
      </c>
      <c r="Z75" s="335">
        <v>657934</v>
      </c>
      <c r="AA75" s="333"/>
      <c r="AB75" s="333"/>
      <c r="AC75" s="333">
        <v>657934</v>
      </c>
    </row>
    <row r="76" spans="1:31" ht="12.75">
      <c r="A76" s="334" t="s">
        <v>75</v>
      </c>
      <c r="B76" s="340">
        <v>538505</v>
      </c>
      <c r="C76" s="333">
        <v>7808</v>
      </c>
      <c r="D76" s="333">
        <v>546313</v>
      </c>
      <c r="E76" s="333">
        <v>261500</v>
      </c>
      <c r="F76" s="333"/>
      <c r="G76" s="333"/>
      <c r="H76" s="333">
        <v>2000</v>
      </c>
      <c r="I76" s="333">
        <v>2000</v>
      </c>
      <c r="J76" s="333">
        <v>1000</v>
      </c>
      <c r="K76" s="333"/>
      <c r="L76" s="333"/>
      <c r="M76" s="333"/>
      <c r="N76" s="333">
        <v>100000</v>
      </c>
      <c r="O76" s="333">
        <v>1000</v>
      </c>
      <c r="P76" s="333"/>
      <c r="Q76" s="333">
        <v>118500</v>
      </c>
      <c r="R76" s="333">
        <v>88100</v>
      </c>
      <c r="S76" s="333">
        <v>21000</v>
      </c>
      <c r="T76" s="333">
        <v>7000</v>
      </c>
      <c r="U76" s="333">
        <v>2400</v>
      </c>
      <c r="V76" s="333">
        <v>5000</v>
      </c>
      <c r="W76" s="333">
        <v>25000</v>
      </c>
      <c r="X76" s="333">
        <v>7000</v>
      </c>
      <c r="Y76" s="333">
        <v>15389</v>
      </c>
      <c r="Z76" s="335">
        <v>823202</v>
      </c>
      <c r="AA76" s="333"/>
      <c r="AB76" s="333">
        <v>18000</v>
      </c>
      <c r="AC76" s="333">
        <v>841202</v>
      </c>
      <c r="AD76" s="352"/>
      <c r="AE76" s="350"/>
    </row>
    <row r="77" spans="1:29" ht="12.75">
      <c r="A77" s="334"/>
      <c r="B77" s="335">
        <v>0</v>
      </c>
      <c r="C77" s="333">
        <v>0</v>
      </c>
      <c r="D77" s="333"/>
      <c r="E77" s="333">
        <v>0</v>
      </c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>
        <v>0</v>
      </c>
      <c r="R77" s="333"/>
      <c r="S77" s="333"/>
      <c r="T77" s="333"/>
      <c r="U77" s="333"/>
      <c r="V77" s="333"/>
      <c r="W77" s="333"/>
      <c r="X77" s="333"/>
      <c r="Y77" s="333"/>
      <c r="Z77" s="335">
        <v>0</v>
      </c>
      <c r="AA77" s="333"/>
      <c r="AB77" s="333"/>
      <c r="AC77" s="333">
        <v>0</v>
      </c>
    </row>
    <row r="78" spans="1:29" ht="12.75">
      <c r="A78" s="334" t="s">
        <v>76</v>
      </c>
      <c r="B78" s="333">
        <v>529185</v>
      </c>
      <c r="C78" s="333">
        <v>7673</v>
      </c>
      <c r="D78" s="333">
        <v>536858</v>
      </c>
      <c r="E78" s="333">
        <v>135212</v>
      </c>
      <c r="F78" s="333">
        <v>0</v>
      </c>
      <c r="G78" s="333">
        <v>0</v>
      </c>
      <c r="H78" s="333">
        <v>2000</v>
      </c>
      <c r="I78" s="333">
        <v>2000</v>
      </c>
      <c r="J78" s="333">
        <v>0</v>
      </c>
      <c r="K78" s="333">
        <v>0</v>
      </c>
      <c r="L78" s="333">
        <v>0</v>
      </c>
      <c r="M78" s="333"/>
      <c r="N78" s="333">
        <v>0</v>
      </c>
      <c r="O78" s="333">
        <v>400</v>
      </c>
      <c r="P78" s="333">
        <v>0</v>
      </c>
      <c r="Q78" s="333">
        <v>118500</v>
      </c>
      <c r="R78" s="333">
        <v>88100</v>
      </c>
      <c r="S78" s="333">
        <v>21000</v>
      </c>
      <c r="T78" s="333">
        <v>7000</v>
      </c>
      <c r="U78" s="345">
        <v>2400</v>
      </c>
      <c r="V78" s="333"/>
      <c r="W78" s="360">
        <v>7725</v>
      </c>
      <c r="X78" s="360">
        <v>4587</v>
      </c>
      <c r="Y78" s="333">
        <v>15389</v>
      </c>
      <c r="Z78" s="335">
        <v>687459</v>
      </c>
      <c r="AA78" s="335"/>
      <c r="AB78" s="333"/>
      <c r="AC78" s="333">
        <v>687459</v>
      </c>
    </row>
    <row r="79" spans="1:29" ht="12.75">
      <c r="A79" s="341"/>
      <c r="B79" s="333"/>
      <c r="C79" s="333"/>
      <c r="D79" s="333"/>
      <c r="E79" s="333">
        <v>0</v>
      </c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5">
        <v>0</v>
      </c>
      <c r="AA79" s="333"/>
      <c r="AB79" s="333"/>
      <c r="AC79" s="333"/>
    </row>
    <row r="80" spans="1:30" ht="12.75">
      <c r="A80" s="332" t="s">
        <v>83</v>
      </c>
      <c r="B80" s="333"/>
      <c r="C80" s="333"/>
      <c r="D80" s="333"/>
      <c r="E80" s="333">
        <v>0</v>
      </c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5">
        <v>0</v>
      </c>
      <c r="AA80" s="333"/>
      <c r="AB80" s="333"/>
      <c r="AC80" s="333"/>
      <c r="AD80">
        <v>13</v>
      </c>
    </row>
    <row r="81" spans="1:29" ht="12.75">
      <c r="A81" s="334" t="s">
        <v>74</v>
      </c>
      <c r="B81" s="335">
        <v>55722</v>
      </c>
      <c r="C81" s="333">
        <v>16984</v>
      </c>
      <c r="D81" s="333">
        <v>72706</v>
      </c>
      <c r="E81" s="333">
        <v>17980</v>
      </c>
      <c r="F81" s="333">
        <v>3166</v>
      </c>
      <c r="G81" s="333"/>
      <c r="H81" s="333">
        <v>700</v>
      </c>
      <c r="I81" s="333"/>
      <c r="J81" s="333"/>
      <c r="K81" s="333"/>
      <c r="L81" s="333"/>
      <c r="M81" s="333"/>
      <c r="N81" s="333"/>
      <c r="O81" s="333">
        <v>0</v>
      </c>
      <c r="P81" s="333">
        <v>0</v>
      </c>
      <c r="Q81" s="333">
        <v>13731</v>
      </c>
      <c r="R81" s="333">
        <v>10482</v>
      </c>
      <c r="S81" s="333">
        <v>1389</v>
      </c>
      <c r="T81" s="333">
        <v>1319</v>
      </c>
      <c r="U81" s="333">
        <v>541</v>
      </c>
      <c r="V81" s="333"/>
      <c r="W81" s="333">
        <v>200</v>
      </c>
      <c r="X81" s="333">
        <v>183</v>
      </c>
      <c r="Y81" s="333"/>
      <c r="Z81" s="335">
        <v>90686</v>
      </c>
      <c r="AA81" s="333"/>
      <c r="AB81" s="333"/>
      <c r="AC81" s="333">
        <v>90686</v>
      </c>
    </row>
    <row r="82" spans="1:29" ht="12.75">
      <c r="A82" s="334" t="s">
        <v>75</v>
      </c>
      <c r="B82" s="340">
        <v>69546</v>
      </c>
      <c r="C82" s="333">
        <v>1008</v>
      </c>
      <c r="D82" s="333">
        <v>70554</v>
      </c>
      <c r="E82" s="333">
        <v>29000</v>
      </c>
      <c r="F82" s="333">
        <v>3800</v>
      </c>
      <c r="G82" s="333"/>
      <c r="H82" s="333">
        <v>700</v>
      </c>
      <c r="I82" s="333"/>
      <c r="J82" s="333">
        <v>900</v>
      </c>
      <c r="K82" s="333"/>
      <c r="L82" s="333"/>
      <c r="M82" s="333"/>
      <c r="N82" s="333">
        <v>2500</v>
      </c>
      <c r="O82" s="333">
        <v>300</v>
      </c>
      <c r="P82" s="333"/>
      <c r="Q82" s="333">
        <v>13000</v>
      </c>
      <c r="R82" s="333">
        <v>9600</v>
      </c>
      <c r="S82" s="333">
        <v>1400</v>
      </c>
      <c r="T82" s="333">
        <v>1450</v>
      </c>
      <c r="U82" s="333">
        <v>550</v>
      </c>
      <c r="V82" s="333">
        <v>800</v>
      </c>
      <c r="W82" s="333">
        <v>6000</v>
      </c>
      <c r="X82" s="333">
        <v>1000</v>
      </c>
      <c r="Y82" s="333"/>
      <c r="Z82" s="335">
        <v>99554</v>
      </c>
      <c r="AA82" s="333"/>
      <c r="AB82" s="333"/>
      <c r="AC82" s="333">
        <v>99554</v>
      </c>
    </row>
    <row r="83" spans="1:29" ht="12.75">
      <c r="A83" s="334"/>
      <c r="B83" s="335">
        <v>0</v>
      </c>
      <c r="C83" s="333">
        <v>0</v>
      </c>
      <c r="D83" s="333"/>
      <c r="E83" s="333">
        <v>0</v>
      </c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>
        <v>0</v>
      </c>
      <c r="R83" s="333"/>
      <c r="S83" s="333"/>
      <c r="T83" s="333"/>
      <c r="U83" s="333"/>
      <c r="V83" s="333"/>
      <c r="W83" s="333"/>
      <c r="X83" s="333"/>
      <c r="Y83" s="333"/>
      <c r="Z83" s="335">
        <v>0</v>
      </c>
      <c r="AA83" s="335"/>
      <c r="AB83" s="333"/>
      <c r="AC83" s="333">
        <v>0</v>
      </c>
    </row>
    <row r="84" spans="1:29" ht="12.75">
      <c r="A84" s="334" t="s">
        <v>76</v>
      </c>
      <c r="B84" s="333">
        <v>67968</v>
      </c>
      <c r="C84" s="333">
        <v>986</v>
      </c>
      <c r="D84" s="333">
        <v>68954</v>
      </c>
      <c r="E84" s="333">
        <v>16760</v>
      </c>
      <c r="F84" s="333">
        <v>3800</v>
      </c>
      <c r="G84" s="333">
        <v>0</v>
      </c>
      <c r="H84" s="333">
        <v>700</v>
      </c>
      <c r="I84" s="333"/>
      <c r="J84" s="333">
        <v>0</v>
      </c>
      <c r="K84" s="333">
        <v>0</v>
      </c>
      <c r="L84" s="333">
        <v>0</v>
      </c>
      <c r="M84" s="333"/>
      <c r="N84" s="333">
        <v>0</v>
      </c>
      <c r="O84" s="333">
        <v>0</v>
      </c>
      <c r="P84" s="333">
        <v>0</v>
      </c>
      <c r="Q84" s="333">
        <v>11877</v>
      </c>
      <c r="R84" s="333">
        <v>7932</v>
      </c>
      <c r="S84" s="333">
        <v>1715</v>
      </c>
      <c r="T84" s="333">
        <v>1012</v>
      </c>
      <c r="U84" s="333">
        <v>1218</v>
      </c>
      <c r="V84" s="333">
        <v>0</v>
      </c>
      <c r="W84" s="333">
        <v>200</v>
      </c>
      <c r="X84" s="333">
        <v>183</v>
      </c>
      <c r="Y84" s="333">
        <v>0</v>
      </c>
      <c r="Z84" s="335">
        <v>85714</v>
      </c>
      <c r="AA84" s="335"/>
      <c r="AB84" s="333"/>
      <c r="AC84" s="333">
        <v>85714</v>
      </c>
    </row>
    <row r="85" spans="1:29" ht="12.75">
      <c r="A85" s="334"/>
      <c r="B85" s="335"/>
      <c r="C85" s="335"/>
      <c r="D85" s="335"/>
      <c r="E85" s="333">
        <v>0</v>
      </c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5">
        <v>0</v>
      </c>
      <c r="AA85" s="333"/>
      <c r="AB85" s="333"/>
      <c r="AC85" s="333"/>
    </row>
    <row r="86" spans="1:30" ht="12.75">
      <c r="A86" s="332" t="s">
        <v>84</v>
      </c>
      <c r="B86" s="333"/>
      <c r="C86" s="333"/>
      <c r="D86" s="333"/>
      <c r="E86" s="333">
        <v>0</v>
      </c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7"/>
      <c r="S86" s="333"/>
      <c r="T86" s="333"/>
      <c r="U86" s="333"/>
      <c r="V86" s="333"/>
      <c r="W86" s="333"/>
      <c r="X86" s="333"/>
      <c r="Y86" s="333"/>
      <c r="Z86" s="335">
        <v>0</v>
      </c>
      <c r="AA86" s="333"/>
      <c r="AB86" s="333"/>
      <c r="AC86" s="333"/>
      <c r="AD86">
        <v>14</v>
      </c>
    </row>
    <row r="87" spans="1:29" ht="12.75">
      <c r="A87" s="334" t="s">
        <v>74</v>
      </c>
      <c r="B87" s="340">
        <v>183374</v>
      </c>
      <c r="C87" s="337">
        <v>55892</v>
      </c>
      <c r="D87" s="333">
        <v>239266</v>
      </c>
      <c r="E87" s="333">
        <v>57499</v>
      </c>
      <c r="F87" s="337"/>
      <c r="G87" s="337"/>
      <c r="H87" s="337">
        <v>700</v>
      </c>
      <c r="I87" s="337">
        <v>1500</v>
      </c>
      <c r="J87" s="337"/>
      <c r="K87" s="337"/>
      <c r="L87" s="337"/>
      <c r="M87" s="337"/>
      <c r="N87" s="337"/>
      <c r="O87" s="337">
        <v>240</v>
      </c>
      <c r="P87" s="337"/>
      <c r="Q87" s="333">
        <v>44891</v>
      </c>
      <c r="R87" s="333">
        <v>28607</v>
      </c>
      <c r="S87" s="337">
        <v>10961</v>
      </c>
      <c r="T87" s="337">
        <v>3157</v>
      </c>
      <c r="U87" s="337">
        <v>2166</v>
      </c>
      <c r="V87" s="337"/>
      <c r="W87" s="337">
        <v>6554</v>
      </c>
      <c r="X87" s="337">
        <v>3614</v>
      </c>
      <c r="Y87" s="337"/>
      <c r="Z87" s="335">
        <v>296765</v>
      </c>
      <c r="AA87" s="337"/>
      <c r="AB87" s="337">
        <v>5690</v>
      </c>
      <c r="AC87" s="337">
        <v>302455</v>
      </c>
    </row>
    <row r="88" spans="1:29" ht="12.75">
      <c r="A88" s="334" t="s">
        <v>75</v>
      </c>
      <c r="B88" s="335">
        <v>271238</v>
      </c>
      <c r="C88" s="333">
        <v>3933</v>
      </c>
      <c r="D88" s="333">
        <v>275171</v>
      </c>
      <c r="E88" s="333">
        <v>66551</v>
      </c>
      <c r="F88" s="333"/>
      <c r="G88" s="333"/>
      <c r="H88" s="333">
        <v>700</v>
      </c>
      <c r="I88" s="337">
        <v>4000</v>
      </c>
      <c r="J88" s="333">
        <v>200</v>
      </c>
      <c r="K88" s="333"/>
      <c r="L88" s="333"/>
      <c r="M88" s="337"/>
      <c r="N88" s="333">
        <v>800</v>
      </c>
      <c r="O88" s="333">
        <v>320</v>
      </c>
      <c r="P88" s="333"/>
      <c r="Q88" s="333">
        <v>47551</v>
      </c>
      <c r="R88" s="333">
        <v>27774</v>
      </c>
      <c r="S88" s="333">
        <v>14534</v>
      </c>
      <c r="T88" s="333">
        <v>3297</v>
      </c>
      <c r="U88" s="333">
        <v>1946</v>
      </c>
      <c r="V88" s="333">
        <v>1300</v>
      </c>
      <c r="W88" s="333">
        <v>8060</v>
      </c>
      <c r="X88" s="333">
        <v>3620</v>
      </c>
      <c r="Y88" s="333"/>
      <c r="Z88" s="335">
        <v>341722</v>
      </c>
      <c r="AA88" s="333"/>
      <c r="AB88" s="333"/>
      <c r="AC88" s="333">
        <v>341722</v>
      </c>
    </row>
    <row r="89" spans="1:29" ht="12.75">
      <c r="A89" s="334"/>
      <c r="B89" s="335">
        <v>0</v>
      </c>
      <c r="C89" s="333">
        <v>0</v>
      </c>
      <c r="D89" s="333"/>
      <c r="E89" s="333">
        <v>0</v>
      </c>
      <c r="F89" s="333"/>
      <c r="G89" s="333"/>
      <c r="H89" s="333"/>
      <c r="I89" s="337"/>
      <c r="J89" s="333"/>
      <c r="K89" s="333"/>
      <c r="L89" s="333"/>
      <c r="M89" s="337"/>
      <c r="N89" s="333"/>
      <c r="O89" s="333"/>
      <c r="P89" s="333"/>
      <c r="Q89" s="333">
        <v>0</v>
      </c>
      <c r="R89" s="333"/>
      <c r="S89" s="333"/>
      <c r="T89" s="333"/>
      <c r="U89" s="333"/>
      <c r="V89" s="333"/>
      <c r="W89" s="333"/>
      <c r="X89" s="333"/>
      <c r="Y89" s="333"/>
      <c r="Z89" s="335">
        <v>0</v>
      </c>
      <c r="AA89" s="333"/>
      <c r="AB89" s="333"/>
      <c r="AC89" s="333">
        <v>0</v>
      </c>
    </row>
    <row r="90" spans="1:29" ht="12.75">
      <c r="A90" s="334" t="s">
        <v>76</v>
      </c>
      <c r="B90" s="333">
        <v>266192</v>
      </c>
      <c r="C90" s="333">
        <v>3860</v>
      </c>
      <c r="D90" s="333">
        <v>270052</v>
      </c>
      <c r="E90" s="333">
        <v>60159</v>
      </c>
      <c r="F90" s="333">
        <v>0</v>
      </c>
      <c r="G90" s="333">
        <v>0</v>
      </c>
      <c r="H90" s="333">
        <v>700</v>
      </c>
      <c r="I90" s="333">
        <v>1500</v>
      </c>
      <c r="J90" s="333">
        <v>0</v>
      </c>
      <c r="K90" s="333">
        <v>0</v>
      </c>
      <c r="L90" s="333">
        <v>0</v>
      </c>
      <c r="M90" s="333"/>
      <c r="N90" s="333">
        <v>0</v>
      </c>
      <c r="O90" s="333">
        <v>240</v>
      </c>
      <c r="P90" s="333">
        <v>0</v>
      </c>
      <c r="Q90" s="333">
        <v>47551</v>
      </c>
      <c r="R90" s="333">
        <v>27774</v>
      </c>
      <c r="S90" s="333">
        <v>14534</v>
      </c>
      <c r="T90" s="333">
        <v>3297</v>
      </c>
      <c r="U90" s="333">
        <v>1946</v>
      </c>
      <c r="V90" s="333"/>
      <c r="W90" s="333">
        <v>6554</v>
      </c>
      <c r="X90" s="333">
        <v>3614</v>
      </c>
      <c r="Y90" s="333">
        <v>0</v>
      </c>
      <c r="Z90" s="335">
        <v>330211</v>
      </c>
      <c r="AA90" s="335"/>
      <c r="AB90" s="333"/>
      <c r="AC90" s="333">
        <v>330211</v>
      </c>
    </row>
    <row r="91" spans="1:29" ht="12.75">
      <c r="A91" s="334"/>
      <c r="B91" s="335"/>
      <c r="C91" s="335"/>
      <c r="D91" s="335"/>
      <c r="E91" s="333">
        <v>0</v>
      </c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5">
        <v>0</v>
      </c>
      <c r="AA91" s="333"/>
      <c r="AB91" s="333"/>
      <c r="AC91" s="333"/>
    </row>
    <row r="92" spans="1:30" ht="12.75">
      <c r="A92" s="342" t="s">
        <v>85</v>
      </c>
      <c r="B92" s="333"/>
      <c r="C92" s="333"/>
      <c r="D92" s="333"/>
      <c r="E92" s="333">
        <v>0</v>
      </c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5">
        <v>0</v>
      </c>
      <c r="AA92" s="333"/>
      <c r="AB92" s="333"/>
      <c r="AC92" s="333"/>
      <c r="AD92">
        <v>15</v>
      </c>
    </row>
    <row r="93" spans="1:29" ht="12.75">
      <c r="A93" s="334" t="s">
        <v>74</v>
      </c>
      <c r="B93" s="335">
        <v>141018</v>
      </c>
      <c r="C93" s="333">
        <v>42983</v>
      </c>
      <c r="D93" s="333">
        <v>184001</v>
      </c>
      <c r="E93" s="333">
        <v>83797</v>
      </c>
      <c r="F93" s="333"/>
      <c r="G93" s="333"/>
      <c r="H93" s="333">
        <v>360</v>
      </c>
      <c r="I93" s="333"/>
      <c r="J93" s="333"/>
      <c r="K93" s="333"/>
      <c r="L93" s="333"/>
      <c r="M93" s="333"/>
      <c r="N93" s="333"/>
      <c r="O93" s="333">
        <v>100</v>
      </c>
      <c r="P93" s="333"/>
      <c r="Q93" s="333">
        <v>77661</v>
      </c>
      <c r="R93" s="333">
        <v>67145</v>
      </c>
      <c r="S93" s="333">
        <v>6280</v>
      </c>
      <c r="T93" s="333">
        <v>2070</v>
      </c>
      <c r="U93" s="333">
        <v>2166</v>
      </c>
      <c r="V93" s="333"/>
      <c r="W93" s="333">
        <v>2677</v>
      </c>
      <c r="X93" s="333">
        <v>2999</v>
      </c>
      <c r="Y93" s="333">
        <v>8238</v>
      </c>
      <c r="Z93" s="335">
        <v>276036</v>
      </c>
      <c r="AA93" s="333"/>
      <c r="AB93" s="333"/>
      <c r="AC93" s="333">
        <v>276036</v>
      </c>
    </row>
    <row r="94" spans="1:29" ht="12.75">
      <c r="A94" s="334" t="s">
        <v>75</v>
      </c>
      <c r="B94" s="335">
        <v>201293</v>
      </c>
      <c r="C94" s="333">
        <v>2919</v>
      </c>
      <c r="D94" s="333">
        <v>204212</v>
      </c>
      <c r="E94" s="333">
        <v>86887</v>
      </c>
      <c r="F94" s="333"/>
      <c r="G94" s="333"/>
      <c r="H94" s="333">
        <v>336</v>
      </c>
      <c r="I94" s="333"/>
      <c r="J94" s="333">
        <v>510</v>
      </c>
      <c r="K94" s="333">
        <v>200</v>
      </c>
      <c r="L94" s="333"/>
      <c r="M94" s="333"/>
      <c r="N94" s="333"/>
      <c r="O94" s="366">
        <v>300</v>
      </c>
      <c r="P94" s="333"/>
      <c r="Q94" s="333">
        <v>78700</v>
      </c>
      <c r="R94" s="333">
        <v>68000</v>
      </c>
      <c r="S94" s="333">
        <v>6300</v>
      </c>
      <c r="T94" s="333">
        <v>2300</v>
      </c>
      <c r="U94" s="333">
        <v>2100</v>
      </c>
      <c r="V94" s="360"/>
      <c r="W94" s="333">
        <v>3650</v>
      </c>
      <c r="X94" s="333">
        <v>3191</v>
      </c>
      <c r="Y94" s="333">
        <v>8923</v>
      </c>
      <c r="Z94" s="335">
        <v>300022</v>
      </c>
      <c r="AA94" s="333"/>
      <c r="AB94" s="333"/>
      <c r="AC94" s="333">
        <v>300022</v>
      </c>
    </row>
    <row r="95" spans="1:29" ht="12.75">
      <c r="A95" s="334"/>
      <c r="B95" s="335">
        <v>0</v>
      </c>
      <c r="C95" s="333">
        <v>0</v>
      </c>
      <c r="D95" s="333"/>
      <c r="E95" s="333">
        <v>0</v>
      </c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>
        <v>0</v>
      </c>
      <c r="R95" s="333"/>
      <c r="S95" s="333"/>
      <c r="T95" s="333"/>
      <c r="U95" s="333"/>
      <c r="V95" s="333"/>
      <c r="W95" s="333"/>
      <c r="X95" s="333"/>
      <c r="Y95" s="333"/>
      <c r="Z95" s="335">
        <v>0</v>
      </c>
      <c r="AA95" s="333"/>
      <c r="AB95" s="333"/>
      <c r="AC95" s="333">
        <v>0</v>
      </c>
    </row>
    <row r="96" spans="1:29" ht="12.75">
      <c r="A96" s="334" t="s">
        <v>76</v>
      </c>
      <c r="B96" s="333">
        <v>197922</v>
      </c>
      <c r="C96" s="333">
        <v>2870</v>
      </c>
      <c r="D96" s="333">
        <v>200792</v>
      </c>
      <c r="E96" s="333">
        <v>84543</v>
      </c>
      <c r="F96" s="333">
        <v>0</v>
      </c>
      <c r="G96" s="333">
        <v>0</v>
      </c>
      <c r="H96" s="333">
        <v>360</v>
      </c>
      <c r="I96" s="333"/>
      <c r="J96" s="333">
        <v>0</v>
      </c>
      <c r="K96" s="333">
        <v>0</v>
      </c>
      <c r="L96" s="333">
        <v>0</v>
      </c>
      <c r="M96" s="333"/>
      <c r="N96" s="333">
        <v>0</v>
      </c>
      <c r="O96" s="333">
        <v>100</v>
      </c>
      <c r="P96" s="333">
        <v>0</v>
      </c>
      <c r="Q96" s="345">
        <v>78407</v>
      </c>
      <c r="R96" s="333">
        <v>67557</v>
      </c>
      <c r="S96" s="333">
        <v>6560</v>
      </c>
      <c r="T96" s="333">
        <v>2519</v>
      </c>
      <c r="U96" s="333">
        <v>1771</v>
      </c>
      <c r="V96" s="333">
        <v>0</v>
      </c>
      <c r="W96" s="333">
        <v>2677</v>
      </c>
      <c r="X96" s="333">
        <v>2999</v>
      </c>
      <c r="Y96" s="333">
        <v>8923</v>
      </c>
      <c r="Z96" s="335">
        <v>294258</v>
      </c>
      <c r="AA96" s="335"/>
      <c r="AB96" s="333"/>
      <c r="AC96" s="333">
        <v>294258</v>
      </c>
    </row>
    <row r="97" spans="1:31" ht="12.75">
      <c r="A97" s="334"/>
      <c r="B97" s="333"/>
      <c r="C97" s="333"/>
      <c r="D97" s="333"/>
      <c r="E97" s="333">
        <v>0</v>
      </c>
      <c r="F97" s="333"/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5"/>
      <c r="S97" s="333"/>
      <c r="T97" s="333"/>
      <c r="U97" s="333"/>
      <c r="V97" s="333"/>
      <c r="W97" s="333"/>
      <c r="X97" s="333"/>
      <c r="Y97" s="333"/>
      <c r="Z97" s="335">
        <v>0</v>
      </c>
      <c r="AA97" s="333"/>
      <c r="AB97" s="333"/>
      <c r="AC97" s="333"/>
      <c r="AD97" s="9"/>
      <c r="AE97" s="355" t="s">
        <v>170</v>
      </c>
    </row>
    <row r="98" spans="1:30" ht="12.75">
      <c r="A98" s="343" t="s">
        <v>86</v>
      </c>
      <c r="B98" s="335"/>
      <c r="C98" s="335"/>
      <c r="D98" s="335"/>
      <c r="E98" s="333">
        <v>0</v>
      </c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3"/>
      <c r="S98" s="335"/>
      <c r="T98" s="335"/>
      <c r="U98" s="335"/>
      <c r="V98" s="335"/>
      <c r="W98" s="335"/>
      <c r="X98" s="335"/>
      <c r="Y98" s="335"/>
      <c r="Z98" s="335">
        <v>0</v>
      </c>
      <c r="AA98" s="335"/>
      <c r="AB98" s="335"/>
      <c r="AC98" s="335"/>
      <c r="AD98">
        <v>16</v>
      </c>
    </row>
    <row r="99" spans="1:29" ht="12.75">
      <c r="A99" s="334" t="s">
        <v>74</v>
      </c>
      <c r="B99" s="335">
        <v>24834</v>
      </c>
      <c r="C99" s="333">
        <v>7570</v>
      </c>
      <c r="D99" s="333">
        <v>32404</v>
      </c>
      <c r="E99" s="333">
        <v>756</v>
      </c>
      <c r="F99" s="333"/>
      <c r="G99" s="333"/>
      <c r="H99" s="333"/>
      <c r="I99" s="333"/>
      <c r="J99" s="333"/>
      <c r="K99" s="333"/>
      <c r="L99" s="333"/>
      <c r="M99" s="333"/>
      <c r="N99" s="333"/>
      <c r="O99" s="333">
        <v>100</v>
      </c>
      <c r="P99" s="333"/>
      <c r="Q99" s="333">
        <v>261</v>
      </c>
      <c r="R99" s="333"/>
      <c r="S99" s="333">
        <v>261</v>
      </c>
      <c r="T99" s="333"/>
      <c r="U99" s="333"/>
      <c r="V99" s="333"/>
      <c r="W99" s="333">
        <v>342</v>
      </c>
      <c r="X99" s="333">
        <v>53</v>
      </c>
      <c r="Y99" s="333"/>
      <c r="Z99" s="335">
        <v>33160</v>
      </c>
      <c r="AA99" s="333"/>
      <c r="AB99" s="333"/>
      <c r="AC99" s="333">
        <v>33160</v>
      </c>
    </row>
    <row r="100" spans="1:29" ht="12.75">
      <c r="A100" s="334" t="s">
        <v>75</v>
      </c>
      <c r="B100" s="340">
        <v>33563</v>
      </c>
      <c r="C100" s="333">
        <v>487</v>
      </c>
      <c r="D100" s="333">
        <v>34050</v>
      </c>
      <c r="E100" s="333">
        <v>1661</v>
      </c>
      <c r="F100" s="333"/>
      <c r="G100" s="333"/>
      <c r="H100" s="333"/>
      <c r="I100" s="333"/>
      <c r="J100" s="333"/>
      <c r="K100" s="333"/>
      <c r="L100" s="333"/>
      <c r="M100" s="333"/>
      <c r="N100" s="333"/>
      <c r="O100" s="333">
        <v>200</v>
      </c>
      <c r="P100" s="333"/>
      <c r="Q100" s="333">
        <v>261</v>
      </c>
      <c r="R100" s="333"/>
      <c r="S100" s="333">
        <v>261</v>
      </c>
      <c r="T100" s="333"/>
      <c r="U100" s="333"/>
      <c r="V100" s="333"/>
      <c r="W100" s="333">
        <v>1000</v>
      </c>
      <c r="X100" s="333">
        <v>200</v>
      </c>
      <c r="Y100" s="333"/>
      <c r="Z100" s="335">
        <v>35711</v>
      </c>
      <c r="AA100" s="333"/>
      <c r="AB100" s="333"/>
      <c r="AC100" s="333">
        <v>35711</v>
      </c>
    </row>
    <row r="101" spans="1:29" ht="12.75">
      <c r="A101" s="334"/>
      <c r="B101" s="335">
        <v>0</v>
      </c>
      <c r="C101" s="333">
        <v>0</v>
      </c>
      <c r="D101" s="333"/>
      <c r="E101" s="333">
        <v>0</v>
      </c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>
        <v>0</v>
      </c>
      <c r="R101" s="333"/>
      <c r="S101" s="333"/>
      <c r="T101" s="333"/>
      <c r="U101" s="333"/>
      <c r="V101" s="333"/>
      <c r="W101" s="333"/>
      <c r="X101" s="333"/>
      <c r="Y101" s="333"/>
      <c r="Z101" s="335">
        <v>0</v>
      </c>
      <c r="AA101" s="335"/>
      <c r="AB101" s="333"/>
      <c r="AC101" s="333">
        <v>0</v>
      </c>
    </row>
    <row r="102" spans="1:29" ht="12.75">
      <c r="A102" s="334" t="s">
        <v>76</v>
      </c>
      <c r="B102" s="333">
        <v>33081</v>
      </c>
      <c r="C102" s="333">
        <v>480</v>
      </c>
      <c r="D102" s="333">
        <v>33561</v>
      </c>
      <c r="E102" s="333">
        <v>756</v>
      </c>
      <c r="F102" s="333">
        <v>0</v>
      </c>
      <c r="G102" s="333">
        <v>0</v>
      </c>
      <c r="H102" s="333">
        <v>0</v>
      </c>
      <c r="I102" s="333">
        <v>0</v>
      </c>
      <c r="J102" s="333">
        <v>0</v>
      </c>
      <c r="K102" s="333">
        <v>0</v>
      </c>
      <c r="L102" s="333">
        <v>0</v>
      </c>
      <c r="M102" s="333"/>
      <c r="N102" s="333">
        <v>0</v>
      </c>
      <c r="O102" s="333">
        <v>100</v>
      </c>
      <c r="P102" s="333">
        <v>0</v>
      </c>
      <c r="Q102" s="333">
        <v>261</v>
      </c>
      <c r="R102" s="333">
        <v>0</v>
      </c>
      <c r="S102" s="333">
        <v>261</v>
      </c>
      <c r="T102" s="333">
        <v>0</v>
      </c>
      <c r="U102" s="333">
        <v>0</v>
      </c>
      <c r="V102" s="333">
        <v>0</v>
      </c>
      <c r="W102" s="333">
        <v>342</v>
      </c>
      <c r="X102" s="333">
        <v>53</v>
      </c>
      <c r="Y102" s="333">
        <v>0</v>
      </c>
      <c r="Z102" s="335">
        <v>34317</v>
      </c>
      <c r="AA102" s="335"/>
      <c r="AB102" s="333"/>
      <c r="AC102" s="337">
        <v>34317</v>
      </c>
    </row>
    <row r="103" spans="1:29" ht="12.75">
      <c r="A103" s="334"/>
      <c r="B103" s="335"/>
      <c r="C103" s="335"/>
      <c r="D103" s="335"/>
      <c r="E103" s="333">
        <v>0</v>
      </c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5"/>
      <c r="S103" s="333"/>
      <c r="T103" s="333"/>
      <c r="U103" s="333"/>
      <c r="V103" s="333"/>
      <c r="W103" s="333"/>
      <c r="X103" s="333"/>
      <c r="Y103" s="333"/>
      <c r="Z103" s="335">
        <v>0</v>
      </c>
      <c r="AA103" s="333"/>
      <c r="AB103" s="333"/>
      <c r="AC103" s="333"/>
    </row>
    <row r="104" spans="1:30" ht="12.75">
      <c r="A104" s="343" t="s">
        <v>87</v>
      </c>
      <c r="B104" s="335"/>
      <c r="C104" s="335"/>
      <c r="D104" s="335"/>
      <c r="E104" s="333">
        <v>0</v>
      </c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7"/>
      <c r="S104" s="335"/>
      <c r="T104" s="335"/>
      <c r="U104" s="335"/>
      <c r="V104" s="335"/>
      <c r="W104" s="335"/>
      <c r="X104" s="335"/>
      <c r="Y104" s="335"/>
      <c r="Z104" s="335">
        <v>0</v>
      </c>
      <c r="AA104" s="335"/>
      <c r="AB104" s="335"/>
      <c r="AC104" s="335"/>
      <c r="AD104">
        <v>17</v>
      </c>
    </row>
    <row r="105" spans="1:29" ht="12.75">
      <c r="A105" s="334" t="s">
        <v>74</v>
      </c>
      <c r="B105" s="335">
        <v>119081</v>
      </c>
      <c r="C105" s="333">
        <v>36296</v>
      </c>
      <c r="D105" s="333">
        <v>155377</v>
      </c>
      <c r="E105" s="333">
        <v>25874</v>
      </c>
      <c r="F105" s="333"/>
      <c r="G105" s="333"/>
      <c r="H105" s="333">
        <v>950</v>
      </c>
      <c r="I105" s="333">
        <v>1000</v>
      </c>
      <c r="J105" s="333"/>
      <c r="K105" s="333"/>
      <c r="L105" s="333"/>
      <c r="M105" s="333"/>
      <c r="N105" s="333"/>
      <c r="O105" s="333"/>
      <c r="P105" s="333"/>
      <c r="Q105" s="333">
        <v>14528</v>
      </c>
      <c r="R105" s="333">
        <v>8050</v>
      </c>
      <c r="S105" s="333">
        <v>5360</v>
      </c>
      <c r="T105" s="333">
        <v>860</v>
      </c>
      <c r="U105" s="333">
        <v>258</v>
      </c>
      <c r="V105" s="333"/>
      <c r="W105" s="333">
        <v>8069</v>
      </c>
      <c r="X105" s="333">
        <v>1327</v>
      </c>
      <c r="Y105" s="333">
        <v>20015</v>
      </c>
      <c r="Z105" s="335">
        <v>201266</v>
      </c>
      <c r="AA105" s="333"/>
      <c r="AB105" s="333">
        <v>0</v>
      </c>
      <c r="AC105" s="333">
        <v>201266</v>
      </c>
    </row>
    <row r="106" spans="1:30" ht="12.75">
      <c r="A106" s="334" t="s">
        <v>75</v>
      </c>
      <c r="B106" s="361">
        <v>186889</v>
      </c>
      <c r="C106" s="333">
        <v>2710</v>
      </c>
      <c r="D106" s="333">
        <v>189599</v>
      </c>
      <c r="E106" s="333">
        <v>27318</v>
      </c>
      <c r="F106" s="333"/>
      <c r="G106" s="333"/>
      <c r="H106" s="333">
        <v>679</v>
      </c>
      <c r="I106" s="333">
        <v>2238</v>
      </c>
      <c r="J106" s="333"/>
      <c r="K106" s="333"/>
      <c r="L106" s="333"/>
      <c r="M106" s="333"/>
      <c r="N106" s="333"/>
      <c r="O106" s="333">
        <v>320</v>
      </c>
      <c r="P106" s="333"/>
      <c r="Q106" s="333">
        <v>18281</v>
      </c>
      <c r="R106" s="333">
        <v>11268</v>
      </c>
      <c r="S106" s="333">
        <v>5925</v>
      </c>
      <c r="T106" s="333">
        <v>756</v>
      </c>
      <c r="U106" s="333">
        <v>332</v>
      </c>
      <c r="V106" s="333"/>
      <c r="W106" s="333">
        <v>3900</v>
      </c>
      <c r="X106" s="333">
        <v>1900</v>
      </c>
      <c r="Y106" s="333">
        <v>17899</v>
      </c>
      <c r="Z106" s="335">
        <v>234816</v>
      </c>
      <c r="AA106" s="333"/>
      <c r="AB106" s="333">
        <v>3600</v>
      </c>
      <c r="AC106" s="333">
        <v>238416</v>
      </c>
      <c r="AD106" s="350"/>
    </row>
    <row r="107" spans="1:29" ht="12.75">
      <c r="A107" s="334"/>
      <c r="B107" s="335">
        <v>0</v>
      </c>
      <c r="C107" s="333">
        <v>0</v>
      </c>
      <c r="D107" s="333"/>
      <c r="E107" s="333">
        <v>0</v>
      </c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>
        <v>0</v>
      </c>
      <c r="R107" s="333"/>
      <c r="S107" s="333"/>
      <c r="T107" s="333"/>
      <c r="U107" s="333"/>
      <c r="V107" s="333"/>
      <c r="W107" s="333"/>
      <c r="X107" s="333"/>
      <c r="Y107" s="333"/>
      <c r="Z107" s="335">
        <v>0</v>
      </c>
      <c r="AA107" s="333"/>
      <c r="AB107" s="333"/>
      <c r="AC107" s="333">
        <v>0</v>
      </c>
    </row>
    <row r="108" spans="1:29" ht="12.75">
      <c r="A108" s="334" t="s">
        <v>76</v>
      </c>
      <c r="B108" s="333">
        <v>183520</v>
      </c>
      <c r="C108" s="333">
        <v>2661</v>
      </c>
      <c r="D108" s="333">
        <v>186181</v>
      </c>
      <c r="E108" s="333">
        <v>25187</v>
      </c>
      <c r="F108" s="333">
        <v>0</v>
      </c>
      <c r="G108" s="333">
        <v>0</v>
      </c>
      <c r="H108" s="333">
        <v>679</v>
      </c>
      <c r="I108" s="333">
        <v>1000</v>
      </c>
      <c r="J108" s="333">
        <v>0</v>
      </c>
      <c r="K108" s="333">
        <v>0</v>
      </c>
      <c r="L108" s="333">
        <v>0</v>
      </c>
      <c r="M108" s="333"/>
      <c r="N108" s="333">
        <v>0</v>
      </c>
      <c r="O108" s="333">
        <v>0</v>
      </c>
      <c r="P108" s="333">
        <v>0</v>
      </c>
      <c r="Q108" s="333">
        <v>18281</v>
      </c>
      <c r="R108" s="333">
        <v>11268</v>
      </c>
      <c r="S108" s="333">
        <v>5925</v>
      </c>
      <c r="T108" s="345">
        <v>756</v>
      </c>
      <c r="U108" s="345">
        <v>332</v>
      </c>
      <c r="V108" s="333"/>
      <c r="W108" s="333">
        <v>3900</v>
      </c>
      <c r="X108" s="333">
        <v>1327</v>
      </c>
      <c r="Y108" s="333">
        <v>17899</v>
      </c>
      <c r="Z108" s="335">
        <v>229267</v>
      </c>
      <c r="AA108" s="335"/>
      <c r="AB108" s="333"/>
      <c r="AC108" s="333">
        <v>229267</v>
      </c>
    </row>
    <row r="109" spans="1:29" ht="12.75">
      <c r="A109" s="334"/>
      <c r="B109" s="335"/>
      <c r="C109" s="335"/>
      <c r="D109" s="335"/>
      <c r="E109" s="333">
        <v>0</v>
      </c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5"/>
      <c r="S109" s="333"/>
      <c r="T109" s="333"/>
      <c r="U109" s="333"/>
      <c r="V109" s="333"/>
      <c r="W109" s="333"/>
      <c r="X109" s="333"/>
      <c r="Y109" s="333"/>
      <c r="Z109" s="335">
        <v>0</v>
      </c>
      <c r="AA109" s="333"/>
      <c r="AB109" s="333"/>
      <c r="AC109" s="333"/>
    </row>
    <row r="110" spans="1:30" ht="12.75">
      <c r="A110" s="343" t="s">
        <v>181</v>
      </c>
      <c r="B110" s="335"/>
      <c r="C110" s="335"/>
      <c r="D110" s="335"/>
      <c r="E110" s="333">
        <v>0</v>
      </c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3"/>
      <c r="S110" s="335"/>
      <c r="T110" s="335"/>
      <c r="U110" s="335"/>
      <c r="V110" s="335"/>
      <c r="W110" s="335"/>
      <c r="X110" s="335"/>
      <c r="Y110" s="335"/>
      <c r="Z110" s="335">
        <v>0</v>
      </c>
      <c r="AA110" s="335"/>
      <c r="AB110" s="335"/>
      <c r="AC110" s="335"/>
      <c r="AD110">
        <v>18</v>
      </c>
    </row>
    <row r="111" spans="1:29" ht="12.75">
      <c r="A111" s="334" t="s">
        <v>74</v>
      </c>
      <c r="B111" s="335">
        <v>125615</v>
      </c>
      <c r="C111" s="333">
        <v>38287</v>
      </c>
      <c r="D111" s="333">
        <v>163902</v>
      </c>
      <c r="E111" s="333">
        <v>60465</v>
      </c>
      <c r="F111" s="333"/>
      <c r="G111" s="333"/>
      <c r="H111" s="333">
        <v>500</v>
      </c>
      <c r="I111" s="333">
        <v>765</v>
      </c>
      <c r="J111" s="333"/>
      <c r="K111" s="333"/>
      <c r="L111" s="333"/>
      <c r="M111" s="333"/>
      <c r="N111" s="333"/>
      <c r="O111" s="333"/>
      <c r="P111" s="333"/>
      <c r="Q111" s="333">
        <v>50857</v>
      </c>
      <c r="R111" s="333">
        <v>38273</v>
      </c>
      <c r="S111" s="333">
        <v>6638</v>
      </c>
      <c r="T111" s="333">
        <v>4839</v>
      </c>
      <c r="U111" s="333">
        <v>1107</v>
      </c>
      <c r="V111" s="333"/>
      <c r="W111" s="333">
        <v>6027</v>
      </c>
      <c r="X111" s="333">
        <v>2316</v>
      </c>
      <c r="Y111" s="333">
        <v>28803</v>
      </c>
      <c r="Z111" s="335">
        <v>253170</v>
      </c>
      <c r="AA111" s="333"/>
      <c r="AB111" s="333">
        <v>0</v>
      </c>
      <c r="AC111" s="333">
        <v>253170</v>
      </c>
    </row>
    <row r="112" spans="1:31" ht="12.75">
      <c r="A112" s="334" t="s">
        <v>75</v>
      </c>
      <c r="B112" s="335">
        <v>183768</v>
      </c>
      <c r="C112" s="333">
        <v>2665</v>
      </c>
      <c r="D112" s="333">
        <v>186433</v>
      </c>
      <c r="E112" s="333">
        <v>64555</v>
      </c>
      <c r="F112" s="333"/>
      <c r="G112" s="333"/>
      <c r="H112" s="333">
        <v>500</v>
      </c>
      <c r="I112" s="333">
        <v>1080</v>
      </c>
      <c r="J112" s="333"/>
      <c r="K112" s="333"/>
      <c r="L112" s="333"/>
      <c r="M112" s="333"/>
      <c r="N112" s="333"/>
      <c r="O112" s="333"/>
      <c r="P112" s="333"/>
      <c r="Q112" s="333">
        <v>53192</v>
      </c>
      <c r="R112" s="333">
        <v>39394</v>
      </c>
      <c r="S112" s="333">
        <v>7998</v>
      </c>
      <c r="T112" s="333">
        <v>4700</v>
      </c>
      <c r="U112" s="333">
        <v>1100</v>
      </c>
      <c r="V112" s="333"/>
      <c r="W112" s="333">
        <v>6755</v>
      </c>
      <c r="X112" s="333">
        <v>3028</v>
      </c>
      <c r="Y112" s="360">
        <v>34842</v>
      </c>
      <c r="Z112" s="335">
        <v>285830</v>
      </c>
      <c r="AA112" s="333"/>
      <c r="AB112" s="333">
        <v>4100</v>
      </c>
      <c r="AC112" s="333">
        <v>289930</v>
      </c>
      <c r="AD112" s="350"/>
      <c r="AE112" s="350"/>
    </row>
    <row r="113" spans="1:29" ht="12.75">
      <c r="A113" s="334"/>
      <c r="B113" s="335">
        <v>0</v>
      </c>
      <c r="C113" s="333">
        <v>0</v>
      </c>
      <c r="D113" s="333"/>
      <c r="E113" s="333">
        <v>0</v>
      </c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>
        <v>0</v>
      </c>
      <c r="R113" s="333"/>
      <c r="S113" s="333"/>
      <c r="T113" s="333"/>
      <c r="U113" s="333"/>
      <c r="V113" s="333"/>
      <c r="W113" s="333"/>
      <c r="X113" s="333"/>
      <c r="Y113" s="333"/>
      <c r="Z113" s="335">
        <v>0</v>
      </c>
      <c r="AA113" s="333"/>
      <c r="AB113" s="333"/>
      <c r="AC113" s="333">
        <v>0</v>
      </c>
    </row>
    <row r="114" spans="1:29" ht="12.75">
      <c r="A114" s="334" t="s">
        <v>76</v>
      </c>
      <c r="B114" s="333">
        <v>181725</v>
      </c>
      <c r="C114" s="333">
        <v>2635</v>
      </c>
      <c r="D114" s="333">
        <v>184360</v>
      </c>
      <c r="E114" s="333">
        <v>56711</v>
      </c>
      <c r="F114" s="333">
        <v>0</v>
      </c>
      <c r="G114" s="333">
        <v>0</v>
      </c>
      <c r="H114" s="333">
        <v>500</v>
      </c>
      <c r="I114" s="333">
        <v>765</v>
      </c>
      <c r="J114" s="333">
        <v>0</v>
      </c>
      <c r="K114" s="333">
        <v>0</v>
      </c>
      <c r="L114" s="333">
        <v>0</v>
      </c>
      <c r="M114" s="333"/>
      <c r="N114" s="333">
        <v>0</v>
      </c>
      <c r="O114" s="333">
        <v>0</v>
      </c>
      <c r="P114" s="333">
        <v>0</v>
      </c>
      <c r="Q114" s="333">
        <v>50103</v>
      </c>
      <c r="R114" s="333">
        <v>38822</v>
      </c>
      <c r="S114" s="333">
        <v>8566</v>
      </c>
      <c r="T114" s="333">
        <v>1939</v>
      </c>
      <c r="U114" s="345">
        <v>776</v>
      </c>
      <c r="V114" s="333"/>
      <c r="W114" s="333">
        <v>3027</v>
      </c>
      <c r="X114" s="333">
        <v>2316</v>
      </c>
      <c r="Y114" s="333">
        <v>34842</v>
      </c>
      <c r="Z114" s="335">
        <v>275913</v>
      </c>
      <c r="AA114" s="335"/>
      <c r="AB114" s="333"/>
      <c r="AC114" s="333">
        <v>275913</v>
      </c>
    </row>
    <row r="115" spans="1:29" ht="12.75">
      <c r="A115" s="334"/>
      <c r="B115" s="335"/>
      <c r="C115" s="335"/>
      <c r="D115" s="335"/>
      <c r="E115" s="333">
        <v>0</v>
      </c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5"/>
      <c r="S115" s="333"/>
      <c r="T115" s="333"/>
      <c r="U115" s="333"/>
      <c r="V115" s="333"/>
      <c r="W115" s="333"/>
      <c r="X115" s="333"/>
      <c r="Y115" s="333"/>
      <c r="Z115" s="335">
        <v>0</v>
      </c>
      <c r="AA115" s="333"/>
      <c r="AB115" s="333"/>
      <c r="AC115" s="333"/>
    </row>
    <row r="116" spans="1:30" ht="12.75">
      <c r="A116" s="343" t="s">
        <v>182</v>
      </c>
      <c r="B116" s="335"/>
      <c r="C116" s="335"/>
      <c r="D116" s="335"/>
      <c r="E116" s="333">
        <v>0</v>
      </c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3"/>
      <c r="S116" s="335"/>
      <c r="T116" s="335"/>
      <c r="U116" s="335"/>
      <c r="V116" s="335"/>
      <c r="W116" s="335"/>
      <c r="X116" s="335"/>
      <c r="Y116" s="335"/>
      <c r="Z116" s="335">
        <v>0</v>
      </c>
      <c r="AA116" s="335"/>
      <c r="AB116" s="335"/>
      <c r="AC116" s="335"/>
      <c r="AD116">
        <v>19</v>
      </c>
    </row>
    <row r="117" spans="1:29" ht="12.75">
      <c r="A117" s="334" t="s">
        <v>74</v>
      </c>
      <c r="B117" s="335">
        <v>54658</v>
      </c>
      <c r="C117" s="333">
        <v>16660</v>
      </c>
      <c r="D117" s="333">
        <v>71318</v>
      </c>
      <c r="E117" s="333">
        <v>31401</v>
      </c>
      <c r="F117" s="333">
        <v>5069</v>
      </c>
      <c r="G117" s="333"/>
      <c r="H117" s="333">
        <v>65</v>
      </c>
      <c r="I117" s="333"/>
      <c r="J117" s="333"/>
      <c r="K117" s="333"/>
      <c r="L117" s="333"/>
      <c r="M117" s="333"/>
      <c r="N117" s="333"/>
      <c r="O117" s="333"/>
      <c r="P117" s="333"/>
      <c r="Q117" s="333">
        <v>25352</v>
      </c>
      <c r="R117" s="333">
        <v>20067</v>
      </c>
      <c r="S117" s="333">
        <v>4242</v>
      </c>
      <c r="T117" s="333">
        <v>806</v>
      </c>
      <c r="U117" s="333">
        <v>237</v>
      </c>
      <c r="V117" s="333"/>
      <c r="W117" s="333">
        <v>740</v>
      </c>
      <c r="X117" s="333">
        <v>175</v>
      </c>
      <c r="Y117" s="333"/>
      <c r="Z117" s="335">
        <v>102719</v>
      </c>
      <c r="AA117" s="333"/>
      <c r="AB117" s="333"/>
      <c r="AC117" s="333">
        <v>102719</v>
      </c>
    </row>
    <row r="118" spans="1:29" ht="12.75">
      <c r="A118" s="334" t="s">
        <v>75</v>
      </c>
      <c r="B118" s="335">
        <v>75202</v>
      </c>
      <c r="C118" s="333">
        <v>1090</v>
      </c>
      <c r="D118" s="333">
        <v>76292</v>
      </c>
      <c r="E118" s="333">
        <v>31853</v>
      </c>
      <c r="F118" s="333">
        <v>4600</v>
      </c>
      <c r="G118" s="333"/>
      <c r="H118" s="333">
        <v>65</v>
      </c>
      <c r="I118" s="333"/>
      <c r="J118" s="333"/>
      <c r="K118" s="333"/>
      <c r="L118" s="333"/>
      <c r="M118" s="333"/>
      <c r="N118" s="333"/>
      <c r="O118" s="333"/>
      <c r="P118" s="333"/>
      <c r="Q118" s="333">
        <v>24440</v>
      </c>
      <c r="R118" s="333">
        <v>18900</v>
      </c>
      <c r="S118" s="333">
        <v>4420</v>
      </c>
      <c r="T118" s="333">
        <v>880</v>
      </c>
      <c r="U118" s="333">
        <v>240</v>
      </c>
      <c r="V118" s="333"/>
      <c r="W118" s="333">
        <v>2320</v>
      </c>
      <c r="X118" s="333">
        <v>428</v>
      </c>
      <c r="Y118" s="333"/>
      <c r="Z118" s="335">
        <v>108145</v>
      </c>
      <c r="AA118" s="333"/>
      <c r="AB118" s="333"/>
      <c r="AC118" s="333">
        <v>108145</v>
      </c>
    </row>
    <row r="119" spans="1:29" ht="12.75">
      <c r="A119" s="334"/>
      <c r="B119" s="335">
        <v>0</v>
      </c>
      <c r="C119" s="333">
        <v>0</v>
      </c>
      <c r="D119" s="333"/>
      <c r="E119" s="333">
        <v>0</v>
      </c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>
        <v>0</v>
      </c>
      <c r="R119" s="333"/>
      <c r="S119" s="333"/>
      <c r="T119" s="333"/>
      <c r="U119" s="333"/>
      <c r="V119" s="333"/>
      <c r="W119" s="333"/>
      <c r="X119" s="333"/>
      <c r="Y119" s="333"/>
      <c r="Z119" s="335">
        <v>0</v>
      </c>
      <c r="AA119" s="333"/>
      <c r="AB119" s="333"/>
      <c r="AC119" s="333">
        <v>0</v>
      </c>
    </row>
    <row r="120" spans="1:29" ht="12.75">
      <c r="A120" s="334" t="s">
        <v>76</v>
      </c>
      <c r="B120" s="333">
        <v>74286</v>
      </c>
      <c r="C120" s="333">
        <v>1077</v>
      </c>
      <c r="D120" s="333">
        <v>75363</v>
      </c>
      <c r="E120" s="333">
        <v>30006</v>
      </c>
      <c r="F120" s="333">
        <v>4600</v>
      </c>
      <c r="G120" s="333">
        <v>0</v>
      </c>
      <c r="H120" s="333">
        <v>65</v>
      </c>
      <c r="I120" s="333">
        <v>0</v>
      </c>
      <c r="J120" s="333">
        <v>0</v>
      </c>
      <c r="K120" s="333">
        <v>0</v>
      </c>
      <c r="L120" s="333">
        <v>0</v>
      </c>
      <c r="M120" s="333"/>
      <c r="N120" s="333">
        <v>0</v>
      </c>
      <c r="O120" s="333">
        <v>0</v>
      </c>
      <c r="P120" s="333">
        <v>0</v>
      </c>
      <c r="Q120" s="345">
        <v>24426</v>
      </c>
      <c r="R120" s="333">
        <v>18712</v>
      </c>
      <c r="S120" s="333">
        <v>4152</v>
      </c>
      <c r="T120" s="333">
        <v>948</v>
      </c>
      <c r="U120" s="345">
        <v>614</v>
      </c>
      <c r="V120" s="333">
        <v>0</v>
      </c>
      <c r="W120" s="333">
        <v>740</v>
      </c>
      <c r="X120" s="333">
        <v>175</v>
      </c>
      <c r="Y120" s="333">
        <v>0</v>
      </c>
      <c r="Z120" s="335">
        <v>105369</v>
      </c>
      <c r="AA120" s="335"/>
      <c r="AB120" s="333"/>
      <c r="AC120" s="333">
        <v>105369</v>
      </c>
    </row>
    <row r="121" spans="1:29" ht="12.75">
      <c r="A121" s="334"/>
      <c r="B121" s="335"/>
      <c r="C121" s="335"/>
      <c r="D121" s="335"/>
      <c r="E121" s="333">
        <v>0</v>
      </c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3"/>
      <c r="R121" s="335"/>
      <c r="S121" s="333"/>
      <c r="T121" s="333"/>
      <c r="U121" s="333"/>
      <c r="V121" s="333"/>
      <c r="W121" s="333"/>
      <c r="X121" s="333"/>
      <c r="Y121" s="333"/>
      <c r="Z121" s="335">
        <v>0</v>
      </c>
      <c r="AA121" s="333"/>
      <c r="AB121" s="333"/>
      <c r="AC121" s="333"/>
    </row>
    <row r="122" spans="1:30" ht="12.75">
      <c r="A122" s="343" t="s">
        <v>183</v>
      </c>
      <c r="B122" s="335"/>
      <c r="C122" s="335"/>
      <c r="D122" s="335"/>
      <c r="E122" s="333">
        <v>0</v>
      </c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3"/>
      <c r="S122" s="335"/>
      <c r="T122" s="335"/>
      <c r="U122" s="335"/>
      <c r="V122" s="335"/>
      <c r="W122" s="335"/>
      <c r="X122" s="335"/>
      <c r="Y122" s="335"/>
      <c r="Z122" s="335">
        <v>0</v>
      </c>
      <c r="AA122" s="335"/>
      <c r="AB122" s="335"/>
      <c r="AC122" s="335"/>
      <c r="AD122">
        <v>20</v>
      </c>
    </row>
    <row r="123" spans="1:29" ht="12.75">
      <c r="A123" s="334" t="s">
        <v>74</v>
      </c>
      <c r="B123" s="335">
        <v>27382</v>
      </c>
      <c r="C123" s="333">
        <v>8346</v>
      </c>
      <c r="D123" s="333">
        <v>35728</v>
      </c>
      <c r="E123" s="333">
        <v>4099</v>
      </c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3">
        <v>3636</v>
      </c>
      <c r="R123" s="333">
        <v>3529</v>
      </c>
      <c r="S123" s="333">
        <v>50</v>
      </c>
      <c r="T123" s="333">
        <v>57</v>
      </c>
      <c r="U123" s="333"/>
      <c r="V123" s="333"/>
      <c r="W123" s="333">
        <v>410</v>
      </c>
      <c r="X123" s="333">
        <v>53</v>
      </c>
      <c r="Y123" s="333"/>
      <c r="Z123" s="335">
        <v>39827</v>
      </c>
      <c r="AA123" s="333"/>
      <c r="AB123" s="333"/>
      <c r="AC123" s="333">
        <v>39827</v>
      </c>
    </row>
    <row r="124" spans="1:29" ht="12.75">
      <c r="A124" s="334" t="s">
        <v>75</v>
      </c>
      <c r="B124" s="340">
        <v>45898</v>
      </c>
      <c r="C124" s="333">
        <v>666</v>
      </c>
      <c r="D124" s="333">
        <v>46564</v>
      </c>
      <c r="E124" s="333">
        <v>4889</v>
      </c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3">
        <v>4475</v>
      </c>
      <c r="R124" s="333">
        <v>4380</v>
      </c>
      <c r="S124" s="333">
        <v>35</v>
      </c>
      <c r="T124" s="333">
        <v>60</v>
      </c>
      <c r="U124" s="333"/>
      <c r="V124" s="333"/>
      <c r="W124" s="333">
        <v>330</v>
      </c>
      <c r="X124" s="333">
        <v>84</v>
      </c>
      <c r="Y124" s="333"/>
      <c r="Z124" s="335">
        <v>51453</v>
      </c>
      <c r="AA124" s="333"/>
      <c r="AB124" s="333"/>
      <c r="AC124" s="333">
        <v>51453</v>
      </c>
    </row>
    <row r="125" spans="1:29" ht="12.75">
      <c r="A125" s="334"/>
      <c r="B125" s="335">
        <v>0</v>
      </c>
      <c r="C125" s="333">
        <v>0</v>
      </c>
      <c r="D125" s="333"/>
      <c r="E125" s="333">
        <v>0</v>
      </c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>
        <v>0</v>
      </c>
      <c r="R125" s="333"/>
      <c r="S125" s="333"/>
      <c r="T125" s="333"/>
      <c r="U125" s="333"/>
      <c r="V125" s="333">
        <v>0</v>
      </c>
      <c r="W125" s="333"/>
      <c r="X125" s="333"/>
      <c r="Y125" s="333"/>
      <c r="Z125" s="335">
        <v>0</v>
      </c>
      <c r="AA125" s="333"/>
      <c r="AB125" s="333"/>
      <c r="AC125" s="333">
        <v>0</v>
      </c>
    </row>
    <row r="126" spans="1:29" ht="12.75">
      <c r="A126" s="334" t="s">
        <v>76</v>
      </c>
      <c r="B126" s="333">
        <v>45176</v>
      </c>
      <c r="C126" s="333">
        <v>655</v>
      </c>
      <c r="D126" s="333">
        <v>45831</v>
      </c>
      <c r="E126" s="333">
        <v>3474</v>
      </c>
      <c r="F126" s="333">
        <v>0</v>
      </c>
      <c r="G126" s="333">
        <v>0</v>
      </c>
      <c r="H126" s="333">
        <v>0</v>
      </c>
      <c r="I126" s="333">
        <v>0</v>
      </c>
      <c r="J126" s="333">
        <v>0</v>
      </c>
      <c r="K126" s="333">
        <v>0</v>
      </c>
      <c r="L126" s="333">
        <v>0</v>
      </c>
      <c r="M126" s="333"/>
      <c r="N126" s="333">
        <v>0</v>
      </c>
      <c r="O126" s="333">
        <v>0</v>
      </c>
      <c r="P126" s="333">
        <v>0</v>
      </c>
      <c r="Q126" s="333">
        <v>3011</v>
      </c>
      <c r="R126" s="333">
        <v>2864</v>
      </c>
      <c r="S126" s="333">
        <v>33</v>
      </c>
      <c r="T126" s="333">
        <v>44</v>
      </c>
      <c r="U126" s="333">
        <v>70</v>
      </c>
      <c r="V126" s="333">
        <v>0</v>
      </c>
      <c r="W126" s="333">
        <v>410</v>
      </c>
      <c r="X126" s="333">
        <v>53</v>
      </c>
      <c r="Y126" s="333">
        <v>0</v>
      </c>
      <c r="Z126" s="335">
        <v>49305</v>
      </c>
      <c r="AA126" s="335"/>
      <c r="AB126" s="333"/>
      <c r="AC126" s="337">
        <v>49305</v>
      </c>
    </row>
    <row r="127" spans="1:29" ht="12.75">
      <c r="A127" s="334"/>
      <c r="B127" s="335"/>
      <c r="C127" s="335"/>
      <c r="D127" s="335"/>
      <c r="E127" s="333">
        <v>0</v>
      </c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5"/>
      <c r="S127" s="333"/>
      <c r="T127" s="333"/>
      <c r="U127" s="333"/>
      <c r="V127" s="333"/>
      <c r="W127" s="333"/>
      <c r="X127" s="333"/>
      <c r="Y127" s="333"/>
      <c r="Z127" s="335">
        <v>0</v>
      </c>
      <c r="AA127" s="333"/>
      <c r="AB127" s="333"/>
      <c r="AC127" s="333"/>
    </row>
    <row r="128" spans="1:30" ht="12.75">
      <c r="A128" s="343" t="s">
        <v>88</v>
      </c>
      <c r="B128" s="335"/>
      <c r="C128" s="335"/>
      <c r="D128" s="335"/>
      <c r="E128" s="333">
        <v>0</v>
      </c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3"/>
      <c r="S128" s="335"/>
      <c r="T128" s="335"/>
      <c r="U128" s="335"/>
      <c r="V128" s="335"/>
      <c r="W128" s="335"/>
      <c r="X128" s="335"/>
      <c r="Y128" s="335"/>
      <c r="Z128" s="335">
        <v>0</v>
      </c>
      <c r="AA128" s="335"/>
      <c r="AB128" s="335"/>
      <c r="AC128" s="335"/>
      <c r="AD128">
        <v>21</v>
      </c>
    </row>
    <row r="129" spans="1:29" ht="12.75">
      <c r="A129" s="334" t="s">
        <v>74</v>
      </c>
      <c r="B129" s="335">
        <v>118344</v>
      </c>
      <c r="C129" s="333">
        <v>36071</v>
      </c>
      <c r="D129" s="333">
        <v>154415</v>
      </c>
      <c r="E129" s="333">
        <v>44694</v>
      </c>
      <c r="F129" s="333"/>
      <c r="G129" s="333"/>
      <c r="H129" s="333">
        <v>316</v>
      </c>
      <c r="I129" s="333">
        <v>674</v>
      </c>
      <c r="J129" s="333"/>
      <c r="K129" s="333"/>
      <c r="L129" s="333"/>
      <c r="M129" s="333"/>
      <c r="N129" s="333"/>
      <c r="O129" s="333">
        <v>200</v>
      </c>
      <c r="P129" s="333"/>
      <c r="Q129" s="333">
        <v>37499</v>
      </c>
      <c r="R129" s="333">
        <v>26260</v>
      </c>
      <c r="S129" s="333">
        <v>9188</v>
      </c>
      <c r="T129" s="333">
        <v>1376</v>
      </c>
      <c r="U129" s="333">
        <v>675</v>
      </c>
      <c r="V129" s="333">
        <v>1856</v>
      </c>
      <c r="W129" s="333">
        <v>1973</v>
      </c>
      <c r="X129" s="333">
        <v>2176</v>
      </c>
      <c r="Y129" s="333">
        <v>8694</v>
      </c>
      <c r="Z129" s="335">
        <v>207803</v>
      </c>
      <c r="AA129" s="333"/>
      <c r="AB129" s="333">
        <v>1129</v>
      </c>
      <c r="AC129" s="333">
        <v>208932</v>
      </c>
    </row>
    <row r="130" spans="1:31" ht="12.75">
      <c r="A130" s="334" t="s">
        <v>75</v>
      </c>
      <c r="B130" s="335">
        <v>182814</v>
      </c>
      <c r="C130" s="333">
        <v>2651</v>
      </c>
      <c r="D130" s="333">
        <v>185465</v>
      </c>
      <c r="E130" s="333">
        <v>42658</v>
      </c>
      <c r="F130" s="333"/>
      <c r="G130" s="333"/>
      <c r="H130" s="333">
        <v>270</v>
      </c>
      <c r="I130" s="333">
        <v>912</v>
      </c>
      <c r="J130" s="333"/>
      <c r="K130" s="333"/>
      <c r="L130" s="333"/>
      <c r="M130" s="333"/>
      <c r="N130" s="333"/>
      <c r="O130" s="333">
        <v>300</v>
      </c>
      <c r="P130" s="333"/>
      <c r="Q130" s="333">
        <v>36996</v>
      </c>
      <c r="R130" s="333">
        <v>25598</v>
      </c>
      <c r="S130" s="333">
        <v>9489</v>
      </c>
      <c r="T130" s="333">
        <v>1445</v>
      </c>
      <c r="U130" s="333">
        <v>464</v>
      </c>
      <c r="V130" s="333"/>
      <c r="W130" s="333">
        <v>2000</v>
      </c>
      <c r="X130" s="333">
        <v>2180</v>
      </c>
      <c r="Y130" s="333">
        <v>10356</v>
      </c>
      <c r="Z130" s="335">
        <v>238479</v>
      </c>
      <c r="AA130" s="333"/>
      <c r="AB130" s="333">
        <v>7000</v>
      </c>
      <c r="AC130" s="333">
        <v>245479</v>
      </c>
      <c r="AD130" s="350"/>
      <c r="AE130" s="350"/>
    </row>
    <row r="131" spans="1:29" ht="12.75">
      <c r="A131" s="334"/>
      <c r="B131" s="335">
        <v>0</v>
      </c>
      <c r="C131" s="333">
        <v>0</v>
      </c>
      <c r="D131" s="333"/>
      <c r="E131" s="333">
        <v>0</v>
      </c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3">
        <v>0</v>
      </c>
      <c r="R131" s="333"/>
      <c r="S131" s="333"/>
      <c r="T131" s="333"/>
      <c r="U131" s="333"/>
      <c r="V131" s="333"/>
      <c r="W131" s="333"/>
      <c r="X131" s="333"/>
      <c r="Y131" s="333"/>
      <c r="Z131" s="335">
        <v>0</v>
      </c>
      <c r="AA131" s="333"/>
      <c r="AB131" s="333"/>
      <c r="AC131" s="333">
        <v>0</v>
      </c>
    </row>
    <row r="132" spans="1:29" ht="12.75">
      <c r="A132" s="334" t="s">
        <v>76</v>
      </c>
      <c r="B132" s="333">
        <v>179898</v>
      </c>
      <c r="C132" s="333">
        <v>2609</v>
      </c>
      <c r="D132" s="333">
        <v>182507</v>
      </c>
      <c r="E132" s="333">
        <v>41919</v>
      </c>
      <c r="F132" s="333">
        <v>0</v>
      </c>
      <c r="G132" s="333">
        <v>0</v>
      </c>
      <c r="H132" s="333">
        <v>270</v>
      </c>
      <c r="I132" s="333">
        <v>674</v>
      </c>
      <c r="J132" s="333">
        <v>0</v>
      </c>
      <c r="K132" s="333">
        <v>0</v>
      </c>
      <c r="L132" s="333">
        <v>0</v>
      </c>
      <c r="M132" s="345"/>
      <c r="N132" s="333">
        <v>0</v>
      </c>
      <c r="O132" s="333">
        <v>200</v>
      </c>
      <c r="P132" s="333">
        <v>0</v>
      </c>
      <c r="Q132" s="333">
        <v>36626</v>
      </c>
      <c r="R132" s="333">
        <v>25598</v>
      </c>
      <c r="S132" s="333">
        <v>9188</v>
      </c>
      <c r="T132" s="333">
        <v>1376</v>
      </c>
      <c r="U132" s="345">
        <v>464</v>
      </c>
      <c r="V132" s="333">
        <v>0</v>
      </c>
      <c r="W132" s="333">
        <v>1973</v>
      </c>
      <c r="X132" s="333">
        <v>2176</v>
      </c>
      <c r="Y132" s="333">
        <v>10356</v>
      </c>
      <c r="Z132" s="335">
        <v>234782</v>
      </c>
      <c r="AA132" s="335"/>
      <c r="AB132" s="333"/>
      <c r="AC132" s="333">
        <v>234782</v>
      </c>
    </row>
    <row r="133" spans="1:29" ht="12.75">
      <c r="A133" s="334"/>
      <c r="B133" s="335"/>
      <c r="C133" s="335"/>
      <c r="D133" s="335"/>
      <c r="E133" s="333">
        <v>0</v>
      </c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5"/>
      <c r="S133" s="333"/>
      <c r="T133" s="333"/>
      <c r="U133" s="333"/>
      <c r="V133" s="333"/>
      <c r="W133" s="333"/>
      <c r="X133" s="333"/>
      <c r="Y133" s="333"/>
      <c r="Z133" s="335">
        <v>0</v>
      </c>
      <c r="AA133" s="333"/>
      <c r="AB133" s="333"/>
      <c r="AC133" s="333"/>
    </row>
    <row r="134" spans="1:30" ht="12.75">
      <c r="A134" s="343" t="s">
        <v>184</v>
      </c>
      <c r="B134" s="335"/>
      <c r="C134" s="335"/>
      <c r="D134" s="335"/>
      <c r="E134" s="333">
        <v>0</v>
      </c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3"/>
      <c r="S134" s="335"/>
      <c r="T134" s="335"/>
      <c r="U134" s="335"/>
      <c r="V134" s="335"/>
      <c r="W134" s="335"/>
      <c r="X134" s="335"/>
      <c r="Y134" s="335"/>
      <c r="Z134" s="335">
        <v>0</v>
      </c>
      <c r="AA134" s="335"/>
      <c r="AB134" s="335"/>
      <c r="AC134" s="335"/>
      <c r="AD134">
        <v>22</v>
      </c>
    </row>
    <row r="135" spans="1:29" ht="12.75">
      <c r="A135" s="334" t="s">
        <v>74</v>
      </c>
      <c r="B135" s="335">
        <v>25000</v>
      </c>
      <c r="C135" s="333">
        <v>7620</v>
      </c>
      <c r="D135" s="333">
        <v>32620</v>
      </c>
      <c r="E135" s="333">
        <v>242</v>
      </c>
      <c r="F135" s="333"/>
      <c r="G135" s="333"/>
      <c r="H135" s="333"/>
      <c r="I135" s="333"/>
      <c r="J135" s="333"/>
      <c r="K135" s="333"/>
      <c r="L135" s="333"/>
      <c r="M135" s="333"/>
      <c r="N135" s="333"/>
      <c r="O135" s="333"/>
      <c r="P135" s="333"/>
      <c r="Q135" s="333">
        <v>0</v>
      </c>
      <c r="R135" s="333"/>
      <c r="S135" s="333"/>
      <c r="T135" s="333"/>
      <c r="U135" s="333"/>
      <c r="V135" s="333"/>
      <c r="W135" s="333">
        <v>242</v>
      </c>
      <c r="X135" s="333"/>
      <c r="Y135" s="333"/>
      <c r="Z135" s="335">
        <v>32862</v>
      </c>
      <c r="AA135" s="333"/>
      <c r="AB135" s="333"/>
      <c r="AC135" s="333">
        <v>32862</v>
      </c>
    </row>
    <row r="136" spans="1:29" ht="12.75">
      <c r="A136" s="334" t="s">
        <v>75</v>
      </c>
      <c r="B136" s="340">
        <v>31016</v>
      </c>
      <c r="C136" s="333">
        <v>450</v>
      </c>
      <c r="D136" s="333">
        <v>31466</v>
      </c>
      <c r="E136" s="333">
        <v>242</v>
      </c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>
        <v>0</v>
      </c>
      <c r="R136" s="333"/>
      <c r="S136" s="333"/>
      <c r="T136" s="333"/>
      <c r="U136" s="333"/>
      <c r="V136" s="333">
        <v>0</v>
      </c>
      <c r="W136" s="333">
        <v>242</v>
      </c>
      <c r="X136" s="333"/>
      <c r="Y136" s="333"/>
      <c r="Z136" s="335">
        <v>31708</v>
      </c>
      <c r="AA136" s="333"/>
      <c r="AB136" s="333"/>
      <c r="AC136" s="333">
        <v>31708</v>
      </c>
    </row>
    <row r="137" spans="1:29" ht="12.75">
      <c r="A137" s="334"/>
      <c r="B137" s="335">
        <v>0</v>
      </c>
      <c r="C137" s="333">
        <v>0</v>
      </c>
      <c r="D137" s="333"/>
      <c r="E137" s="333">
        <v>0</v>
      </c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3">
        <v>0</v>
      </c>
      <c r="R137" s="333"/>
      <c r="S137" s="333"/>
      <c r="T137" s="333"/>
      <c r="U137" s="333"/>
      <c r="V137" s="333"/>
      <c r="W137" s="333"/>
      <c r="X137" s="333"/>
      <c r="Y137" s="333"/>
      <c r="Z137" s="335">
        <v>0</v>
      </c>
      <c r="AA137" s="335"/>
      <c r="AB137" s="333"/>
      <c r="AC137" s="333">
        <v>0</v>
      </c>
    </row>
    <row r="138" spans="1:29" ht="12.75">
      <c r="A138" s="334" t="s">
        <v>76</v>
      </c>
      <c r="B138" s="333">
        <v>30599</v>
      </c>
      <c r="C138" s="333">
        <v>444</v>
      </c>
      <c r="D138" s="333">
        <v>31043</v>
      </c>
      <c r="E138" s="333">
        <v>242</v>
      </c>
      <c r="F138" s="333">
        <v>0</v>
      </c>
      <c r="G138" s="333">
        <v>0</v>
      </c>
      <c r="H138" s="333">
        <v>0</v>
      </c>
      <c r="I138" s="333">
        <v>0</v>
      </c>
      <c r="J138" s="333">
        <v>0</v>
      </c>
      <c r="K138" s="333">
        <v>0</v>
      </c>
      <c r="L138" s="333">
        <v>0</v>
      </c>
      <c r="M138" s="333"/>
      <c r="N138" s="333">
        <v>0</v>
      </c>
      <c r="O138" s="333">
        <v>0</v>
      </c>
      <c r="P138" s="333">
        <v>0</v>
      </c>
      <c r="Q138" s="333">
        <v>0</v>
      </c>
      <c r="R138" s="333">
        <v>0</v>
      </c>
      <c r="S138" s="333">
        <v>0</v>
      </c>
      <c r="T138" s="333">
        <v>0</v>
      </c>
      <c r="U138" s="333">
        <v>0</v>
      </c>
      <c r="V138" s="333"/>
      <c r="W138" s="333">
        <v>242</v>
      </c>
      <c r="X138" s="333">
        <v>0</v>
      </c>
      <c r="Y138" s="333">
        <v>0</v>
      </c>
      <c r="Z138" s="335">
        <v>31285</v>
      </c>
      <c r="AA138" s="335"/>
      <c r="AB138" s="333"/>
      <c r="AC138" s="337">
        <v>31285</v>
      </c>
    </row>
    <row r="139" spans="1:29" ht="12.75">
      <c r="A139" s="334"/>
      <c r="B139" s="335"/>
      <c r="C139" s="335"/>
      <c r="D139" s="335"/>
      <c r="E139" s="333">
        <v>0</v>
      </c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5"/>
      <c r="S139" s="333"/>
      <c r="T139" s="333"/>
      <c r="U139" s="333"/>
      <c r="V139" s="333"/>
      <c r="W139" s="333"/>
      <c r="X139" s="333"/>
      <c r="Y139" s="333"/>
      <c r="Z139" s="335">
        <v>0</v>
      </c>
      <c r="AA139" s="333"/>
      <c r="AB139" s="333"/>
      <c r="AC139" s="333"/>
    </row>
    <row r="140" spans="1:30" ht="12.75">
      <c r="A140" s="343" t="s">
        <v>89</v>
      </c>
      <c r="B140" s="335"/>
      <c r="C140" s="335"/>
      <c r="D140" s="335"/>
      <c r="E140" s="333">
        <v>0</v>
      </c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7"/>
      <c r="S140" s="335"/>
      <c r="T140" s="335"/>
      <c r="U140" s="335"/>
      <c r="V140" s="335"/>
      <c r="W140" s="335"/>
      <c r="X140" s="335"/>
      <c r="Y140" s="335"/>
      <c r="Z140" s="335">
        <v>0</v>
      </c>
      <c r="AA140" s="335"/>
      <c r="AB140" s="335"/>
      <c r="AC140" s="335"/>
      <c r="AD140">
        <v>23</v>
      </c>
    </row>
    <row r="141" spans="1:29" ht="24">
      <c r="A141" s="367" t="s">
        <v>90</v>
      </c>
      <c r="B141" s="335">
        <v>169045</v>
      </c>
      <c r="C141" s="333">
        <v>51525</v>
      </c>
      <c r="D141" s="333">
        <v>220570</v>
      </c>
      <c r="E141" s="333">
        <v>115161</v>
      </c>
      <c r="F141" s="333"/>
      <c r="G141" s="333"/>
      <c r="H141" s="333">
        <v>710</v>
      </c>
      <c r="I141" s="333">
        <v>1000</v>
      </c>
      <c r="J141" s="333"/>
      <c r="K141" s="333"/>
      <c r="L141" s="333">
        <v>100</v>
      </c>
      <c r="M141" s="333"/>
      <c r="N141" s="333"/>
      <c r="O141" s="333">
        <v>200</v>
      </c>
      <c r="P141" s="333"/>
      <c r="Q141" s="333">
        <v>106396</v>
      </c>
      <c r="R141" s="333">
        <v>86088</v>
      </c>
      <c r="S141" s="337">
        <v>13809</v>
      </c>
      <c r="T141" s="337">
        <v>2168</v>
      </c>
      <c r="U141" s="337">
        <v>4331</v>
      </c>
      <c r="V141" s="337">
        <v>890</v>
      </c>
      <c r="W141" s="333">
        <v>3856</v>
      </c>
      <c r="X141" s="333">
        <v>2009</v>
      </c>
      <c r="Y141" s="333">
        <v>18123</v>
      </c>
      <c r="Z141" s="335">
        <v>353854</v>
      </c>
      <c r="AA141" s="333"/>
      <c r="AB141" s="333"/>
      <c r="AC141" s="333">
        <v>353854</v>
      </c>
    </row>
    <row r="142" spans="1:31" ht="12.75">
      <c r="A142" s="334" t="s">
        <v>75</v>
      </c>
      <c r="B142" s="340">
        <v>244034</v>
      </c>
      <c r="C142" s="333">
        <v>3538</v>
      </c>
      <c r="D142" s="333">
        <v>247572</v>
      </c>
      <c r="E142" s="333">
        <v>140510</v>
      </c>
      <c r="F142" s="333"/>
      <c r="G142" s="333"/>
      <c r="H142" s="333">
        <v>450</v>
      </c>
      <c r="I142" s="333">
        <v>2165</v>
      </c>
      <c r="J142" s="333"/>
      <c r="K142" s="333"/>
      <c r="L142" s="333">
        <v>500</v>
      </c>
      <c r="M142" s="333"/>
      <c r="N142" s="333"/>
      <c r="O142" s="333">
        <v>750</v>
      </c>
      <c r="P142" s="333"/>
      <c r="Q142" s="333">
        <v>129160</v>
      </c>
      <c r="R142" s="333">
        <v>110016</v>
      </c>
      <c r="S142" s="333">
        <v>14016</v>
      </c>
      <c r="T142" s="333">
        <v>1972</v>
      </c>
      <c r="U142" s="333">
        <v>3156</v>
      </c>
      <c r="V142" s="333">
        <v>1000</v>
      </c>
      <c r="W142" s="333">
        <v>3500</v>
      </c>
      <c r="X142" s="333">
        <v>2985</v>
      </c>
      <c r="Y142" s="333">
        <v>27169</v>
      </c>
      <c r="Z142" s="335">
        <v>415251</v>
      </c>
      <c r="AA142" s="333"/>
      <c r="AB142" s="333">
        <v>3000</v>
      </c>
      <c r="AC142" s="333">
        <v>418251</v>
      </c>
      <c r="AD142" s="350"/>
      <c r="AE142" s="350"/>
    </row>
    <row r="143" spans="1:29" ht="12.75">
      <c r="A143" s="334"/>
      <c r="B143" s="335"/>
      <c r="C143" s="333"/>
      <c r="D143" s="333"/>
      <c r="E143" s="333">
        <v>0</v>
      </c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>
        <v>0</v>
      </c>
      <c r="R143" s="333"/>
      <c r="S143" s="333"/>
      <c r="T143" s="333"/>
      <c r="U143" s="333"/>
      <c r="V143" s="333"/>
      <c r="W143" s="333"/>
      <c r="X143" s="333"/>
      <c r="Y143" s="333"/>
      <c r="Z143" s="335">
        <v>0</v>
      </c>
      <c r="AA143" s="333"/>
      <c r="AB143" s="333"/>
      <c r="AC143" s="333">
        <v>0</v>
      </c>
    </row>
    <row r="144" spans="1:29" ht="12.75">
      <c r="A144" s="334" t="s">
        <v>76</v>
      </c>
      <c r="B144" s="333">
        <v>240023</v>
      </c>
      <c r="C144" s="333">
        <v>3480</v>
      </c>
      <c r="D144" s="333">
        <v>243503</v>
      </c>
      <c r="E144" s="333">
        <v>135623</v>
      </c>
      <c r="F144" s="333">
        <v>0</v>
      </c>
      <c r="G144" s="333">
        <v>0</v>
      </c>
      <c r="H144" s="333">
        <v>450</v>
      </c>
      <c r="I144" s="333">
        <v>1000</v>
      </c>
      <c r="J144" s="333">
        <v>0</v>
      </c>
      <c r="K144" s="333">
        <v>0</v>
      </c>
      <c r="L144" s="333">
        <v>100</v>
      </c>
      <c r="M144" s="333"/>
      <c r="N144" s="333">
        <v>0</v>
      </c>
      <c r="O144" s="333">
        <v>200</v>
      </c>
      <c r="P144" s="333">
        <v>0</v>
      </c>
      <c r="Q144" s="333">
        <v>129008</v>
      </c>
      <c r="R144" s="333">
        <v>109020</v>
      </c>
      <c r="S144" s="333">
        <v>14650</v>
      </c>
      <c r="T144" s="333">
        <v>1931</v>
      </c>
      <c r="U144" s="333">
        <v>3407</v>
      </c>
      <c r="V144" s="333"/>
      <c r="W144" s="333">
        <v>2856</v>
      </c>
      <c r="X144" s="333">
        <v>2009</v>
      </c>
      <c r="Y144" s="333">
        <v>27169</v>
      </c>
      <c r="Z144" s="335">
        <v>406295</v>
      </c>
      <c r="AA144" s="335"/>
      <c r="AB144" s="333"/>
      <c r="AC144" s="333">
        <v>406295</v>
      </c>
    </row>
    <row r="145" spans="1:29" ht="12.75">
      <c r="A145" s="334"/>
      <c r="B145" s="335"/>
      <c r="C145" s="335"/>
      <c r="D145" s="335"/>
      <c r="E145" s="333">
        <v>0</v>
      </c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5"/>
      <c r="S145" s="333"/>
      <c r="T145" s="333"/>
      <c r="U145" s="333"/>
      <c r="V145" s="333"/>
      <c r="W145" s="333"/>
      <c r="X145" s="333"/>
      <c r="Y145" s="333"/>
      <c r="Z145" s="335">
        <v>0</v>
      </c>
      <c r="AA145" s="335"/>
      <c r="AB145" s="333"/>
      <c r="AC145" s="333"/>
    </row>
    <row r="146" spans="1:30" ht="12.75">
      <c r="A146" s="338" t="s">
        <v>91</v>
      </c>
      <c r="B146" s="335"/>
      <c r="C146" s="335"/>
      <c r="D146" s="335"/>
      <c r="E146" s="333">
        <v>0</v>
      </c>
      <c r="F146" s="333"/>
      <c r="G146" s="333"/>
      <c r="H146" s="333"/>
      <c r="I146" s="333"/>
      <c r="J146" s="333"/>
      <c r="K146" s="333"/>
      <c r="L146" s="333"/>
      <c r="M146" s="333"/>
      <c r="N146" s="333"/>
      <c r="O146" s="333"/>
      <c r="P146" s="333"/>
      <c r="Q146" s="333"/>
      <c r="R146" s="335"/>
      <c r="S146" s="333"/>
      <c r="T146" s="333"/>
      <c r="U146" s="333"/>
      <c r="V146" s="333"/>
      <c r="W146" s="333"/>
      <c r="X146" s="333"/>
      <c r="Y146" s="333"/>
      <c r="Z146" s="335">
        <v>0</v>
      </c>
      <c r="AA146" s="335"/>
      <c r="AB146" s="333"/>
      <c r="AC146" s="333"/>
      <c r="AD146">
        <v>24</v>
      </c>
    </row>
    <row r="147" spans="1:29" ht="12.75">
      <c r="A147" s="334" t="s">
        <v>74</v>
      </c>
      <c r="B147" s="335">
        <v>26817</v>
      </c>
      <c r="C147" s="335">
        <v>8174</v>
      </c>
      <c r="D147" s="333">
        <v>34991</v>
      </c>
      <c r="E147" s="333">
        <v>3550</v>
      </c>
      <c r="F147" s="333"/>
      <c r="G147" s="333"/>
      <c r="H147" s="333">
        <v>160</v>
      </c>
      <c r="I147" s="333"/>
      <c r="J147" s="333"/>
      <c r="K147" s="333"/>
      <c r="L147" s="333"/>
      <c r="M147" s="333"/>
      <c r="N147" s="333"/>
      <c r="O147" s="333"/>
      <c r="P147" s="333"/>
      <c r="Q147" s="333">
        <v>2564</v>
      </c>
      <c r="R147" s="335">
        <v>1900</v>
      </c>
      <c r="S147" s="333">
        <v>509</v>
      </c>
      <c r="T147" s="333">
        <v>99</v>
      </c>
      <c r="U147" s="333">
        <v>56</v>
      </c>
      <c r="V147" s="333"/>
      <c r="W147" s="333">
        <v>232</v>
      </c>
      <c r="X147" s="333">
        <v>594</v>
      </c>
      <c r="Y147" s="333"/>
      <c r="Z147" s="335">
        <v>38541</v>
      </c>
      <c r="AA147" s="335"/>
      <c r="AB147" s="333"/>
      <c r="AC147" s="333">
        <v>38541</v>
      </c>
    </row>
    <row r="148" spans="1:29" ht="12.75">
      <c r="A148" s="334" t="s">
        <v>75</v>
      </c>
      <c r="B148" s="335">
        <v>38574</v>
      </c>
      <c r="C148" s="333">
        <v>559</v>
      </c>
      <c r="D148" s="333">
        <v>39133</v>
      </c>
      <c r="E148" s="333">
        <v>4161</v>
      </c>
      <c r="F148" s="333"/>
      <c r="G148" s="333"/>
      <c r="H148" s="333">
        <v>180</v>
      </c>
      <c r="I148" s="333"/>
      <c r="J148" s="333"/>
      <c r="K148" s="333"/>
      <c r="L148" s="333"/>
      <c r="M148" s="333"/>
      <c r="N148" s="333"/>
      <c r="O148" s="333"/>
      <c r="P148" s="333"/>
      <c r="Q148" s="333">
        <v>3171</v>
      </c>
      <c r="R148" s="335">
        <v>2175</v>
      </c>
      <c r="S148" s="333">
        <v>662</v>
      </c>
      <c r="T148" s="333">
        <v>90</v>
      </c>
      <c r="U148" s="333">
        <v>244</v>
      </c>
      <c r="V148" s="333">
        <v>100</v>
      </c>
      <c r="W148" s="333">
        <v>300</v>
      </c>
      <c r="X148" s="333">
        <v>410</v>
      </c>
      <c r="Y148" s="333"/>
      <c r="Z148" s="335">
        <v>43294</v>
      </c>
      <c r="AA148" s="335"/>
      <c r="AB148" s="333"/>
      <c r="AC148" s="333">
        <v>43294</v>
      </c>
    </row>
    <row r="149" spans="1:29" ht="12.75">
      <c r="A149" s="334"/>
      <c r="B149" s="335"/>
      <c r="C149" s="335"/>
      <c r="D149" s="335"/>
      <c r="E149" s="333">
        <v>0</v>
      </c>
      <c r="F149" s="333"/>
      <c r="G149" s="333"/>
      <c r="H149" s="333"/>
      <c r="I149" s="333"/>
      <c r="J149" s="333"/>
      <c r="K149" s="333"/>
      <c r="L149" s="333"/>
      <c r="M149" s="333"/>
      <c r="N149" s="333"/>
      <c r="O149" s="333"/>
      <c r="P149" s="333"/>
      <c r="Q149" s="333">
        <v>0</v>
      </c>
      <c r="R149" s="335"/>
      <c r="S149" s="333"/>
      <c r="T149" s="333"/>
      <c r="U149" s="333"/>
      <c r="V149" s="333"/>
      <c r="W149" s="333"/>
      <c r="X149" s="333"/>
      <c r="Y149" s="333"/>
      <c r="Z149" s="335">
        <v>0</v>
      </c>
      <c r="AA149" s="335"/>
      <c r="AB149" s="333"/>
      <c r="AC149" s="333">
        <v>0</v>
      </c>
    </row>
    <row r="150" spans="1:29" ht="12.75">
      <c r="A150" s="334" t="s">
        <v>76</v>
      </c>
      <c r="B150" s="333">
        <v>37417</v>
      </c>
      <c r="C150" s="333">
        <v>543</v>
      </c>
      <c r="D150" s="333">
        <v>37960</v>
      </c>
      <c r="E150" s="333">
        <v>3973</v>
      </c>
      <c r="F150" s="333"/>
      <c r="G150" s="333"/>
      <c r="H150" s="333">
        <v>160</v>
      </c>
      <c r="I150" s="333"/>
      <c r="J150" s="333"/>
      <c r="K150" s="333"/>
      <c r="L150" s="333"/>
      <c r="M150" s="333"/>
      <c r="N150" s="333"/>
      <c r="O150" s="333"/>
      <c r="P150" s="333"/>
      <c r="Q150" s="333">
        <v>3171</v>
      </c>
      <c r="R150" s="335">
        <v>2175</v>
      </c>
      <c r="S150" s="333">
        <v>662</v>
      </c>
      <c r="T150" s="333">
        <v>90</v>
      </c>
      <c r="U150" s="333">
        <v>244</v>
      </c>
      <c r="V150" s="333"/>
      <c r="W150" s="333">
        <v>232</v>
      </c>
      <c r="X150" s="333">
        <v>410</v>
      </c>
      <c r="Y150" s="333"/>
      <c r="Z150" s="335">
        <v>41933</v>
      </c>
      <c r="AA150" s="335"/>
      <c r="AB150" s="333"/>
      <c r="AC150" s="333">
        <v>41933</v>
      </c>
    </row>
    <row r="151" spans="1:29" ht="12.75">
      <c r="A151" s="334"/>
      <c r="B151" s="335"/>
      <c r="C151" s="335"/>
      <c r="D151" s="335"/>
      <c r="E151" s="333">
        <v>0</v>
      </c>
      <c r="F151" s="333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5"/>
      <c r="S151" s="333"/>
      <c r="T151" s="333"/>
      <c r="U151" s="333"/>
      <c r="V151" s="333"/>
      <c r="W151" s="333"/>
      <c r="X151" s="333"/>
      <c r="Y151" s="333"/>
      <c r="Z151" s="335">
        <v>0</v>
      </c>
      <c r="AA151" s="333"/>
      <c r="AB151" s="333"/>
      <c r="AC151" s="333"/>
    </row>
    <row r="152" spans="1:30" ht="12.75">
      <c r="A152" s="347" t="s">
        <v>92</v>
      </c>
      <c r="B152" s="348"/>
      <c r="C152" s="335"/>
      <c r="D152" s="335"/>
      <c r="E152" s="333">
        <v>0</v>
      </c>
      <c r="F152" s="335"/>
      <c r="G152" s="335"/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  <c r="R152" s="337"/>
      <c r="S152" s="335"/>
      <c r="T152" s="335"/>
      <c r="U152" s="335"/>
      <c r="V152" s="335"/>
      <c r="W152" s="335"/>
      <c r="X152" s="335"/>
      <c r="Y152" s="335"/>
      <c r="Z152" s="335">
        <v>0</v>
      </c>
      <c r="AA152" s="335"/>
      <c r="AB152" s="335"/>
      <c r="AC152" s="335"/>
      <c r="AD152">
        <v>25</v>
      </c>
    </row>
    <row r="153" spans="1:31" ht="12.75">
      <c r="A153" s="367" t="s">
        <v>80</v>
      </c>
      <c r="B153" s="348"/>
      <c r="C153" s="345"/>
      <c r="D153" s="333">
        <v>0</v>
      </c>
      <c r="E153" s="333">
        <v>8094</v>
      </c>
      <c r="F153" s="333"/>
      <c r="G153" s="333"/>
      <c r="H153" s="345"/>
      <c r="I153" s="333"/>
      <c r="J153" s="333"/>
      <c r="K153" s="333"/>
      <c r="L153" s="333"/>
      <c r="M153" s="345"/>
      <c r="N153" s="333"/>
      <c r="O153" s="333"/>
      <c r="P153" s="333"/>
      <c r="Q153" s="333">
        <v>5053</v>
      </c>
      <c r="R153" s="345">
        <v>3400</v>
      </c>
      <c r="S153" s="337">
        <v>953</v>
      </c>
      <c r="T153" s="337">
        <v>500</v>
      </c>
      <c r="U153" s="337">
        <v>200</v>
      </c>
      <c r="V153" s="345">
        <v>1100</v>
      </c>
      <c r="W153" s="333">
        <v>225</v>
      </c>
      <c r="X153" s="333">
        <v>1716</v>
      </c>
      <c r="Y153" s="333">
        <v>8883</v>
      </c>
      <c r="Z153" s="335">
        <v>16977</v>
      </c>
      <c r="AA153" s="333"/>
      <c r="AB153" s="333"/>
      <c r="AC153" s="333">
        <v>16977</v>
      </c>
      <c r="AD153" s="350"/>
      <c r="AE153" s="350"/>
    </row>
    <row r="154" spans="1:29" ht="12.75">
      <c r="A154" s="334" t="s">
        <v>75</v>
      </c>
      <c r="B154" s="348"/>
      <c r="C154" s="345"/>
      <c r="D154" s="333">
        <v>0</v>
      </c>
      <c r="E154" s="333">
        <v>30036</v>
      </c>
      <c r="F154" s="333"/>
      <c r="G154" s="333"/>
      <c r="H154" s="333">
        <v>250</v>
      </c>
      <c r="I154" s="333"/>
      <c r="J154" s="333"/>
      <c r="K154" s="333"/>
      <c r="L154" s="333"/>
      <c r="M154" s="333"/>
      <c r="N154" s="333"/>
      <c r="O154" s="333"/>
      <c r="P154" s="333"/>
      <c r="Q154" s="333">
        <v>19486</v>
      </c>
      <c r="R154" s="333">
        <v>14481</v>
      </c>
      <c r="S154" s="333">
        <v>3550</v>
      </c>
      <c r="T154" s="333">
        <v>995</v>
      </c>
      <c r="U154" s="333">
        <v>460</v>
      </c>
      <c r="V154" s="333">
        <v>791</v>
      </c>
      <c r="W154" s="333">
        <v>8000</v>
      </c>
      <c r="X154" s="333">
        <v>1509</v>
      </c>
      <c r="Y154" s="333">
        <v>7506</v>
      </c>
      <c r="Z154" s="335">
        <v>37542</v>
      </c>
      <c r="AA154" s="333"/>
      <c r="AB154" s="333"/>
      <c r="AC154" s="333">
        <v>37542</v>
      </c>
    </row>
    <row r="155" spans="1:29" ht="12.75">
      <c r="A155" s="359"/>
      <c r="B155" s="335">
        <v>0</v>
      </c>
      <c r="C155" s="333">
        <v>0</v>
      </c>
      <c r="D155" s="333"/>
      <c r="E155" s="333">
        <v>0</v>
      </c>
      <c r="F155" s="333"/>
      <c r="G155" s="333"/>
      <c r="H155" s="333"/>
      <c r="I155" s="333"/>
      <c r="J155" s="333"/>
      <c r="K155" s="333"/>
      <c r="L155" s="333"/>
      <c r="M155" s="333"/>
      <c r="N155" s="333"/>
      <c r="O155" s="333"/>
      <c r="P155" s="333"/>
      <c r="Q155" s="333">
        <v>0</v>
      </c>
      <c r="R155" s="333"/>
      <c r="S155" s="333"/>
      <c r="T155" s="333"/>
      <c r="U155" s="333"/>
      <c r="V155" s="333"/>
      <c r="W155" s="333"/>
      <c r="X155" s="333"/>
      <c r="Y155" s="333"/>
      <c r="Z155" s="335">
        <v>0</v>
      </c>
      <c r="AA155" s="333"/>
      <c r="AB155" s="333"/>
      <c r="AC155" s="333">
        <v>0</v>
      </c>
    </row>
    <row r="156" spans="1:29" ht="12.75">
      <c r="A156" s="334" t="s">
        <v>76</v>
      </c>
      <c r="B156" s="333"/>
      <c r="C156" s="333"/>
      <c r="D156" s="333">
        <v>0</v>
      </c>
      <c r="E156" s="333">
        <v>21627</v>
      </c>
      <c r="F156" s="333"/>
      <c r="G156" s="333"/>
      <c r="H156" s="333">
        <v>200</v>
      </c>
      <c r="I156" s="333">
        <v>0</v>
      </c>
      <c r="J156" s="333">
        <v>0</v>
      </c>
      <c r="K156" s="333">
        <v>0</v>
      </c>
      <c r="L156" s="333">
        <v>0</v>
      </c>
      <c r="M156" s="345"/>
      <c r="N156" s="333">
        <v>0</v>
      </c>
      <c r="O156" s="333">
        <v>0</v>
      </c>
      <c r="P156" s="333">
        <v>0</v>
      </c>
      <c r="Q156" s="345">
        <v>19486</v>
      </c>
      <c r="R156" s="333">
        <v>14481</v>
      </c>
      <c r="S156" s="333">
        <v>3550</v>
      </c>
      <c r="T156" s="333">
        <v>995</v>
      </c>
      <c r="U156" s="333">
        <v>460</v>
      </c>
      <c r="V156" s="333"/>
      <c r="W156" s="333">
        <v>225</v>
      </c>
      <c r="X156" s="333">
        <v>1716</v>
      </c>
      <c r="Y156" s="333">
        <v>7506</v>
      </c>
      <c r="Z156" s="335">
        <v>29133</v>
      </c>
      <c r="AA156" s="335"/>
      <c r="AB156" s="333"/>
      <c r="AC156" s="333">
        <v>29133</v>
      </c>
    </row>
    <row r="157" spans="1:29" ht="12.75">
      <c r="A157" s="334"/>
      <c r="B157" s="335"/>
      <c r="C157" s="335"/>
      <c r="D157" s="335"/>
      <c r="E157" s="333">
        <v>0</v>
      </c>
      <c r="F157" s="333"/>
      <c r="G157" s="333"/>
      <c r="H157" s="333"/>
      <c r="I157" s="333"/>
      <c r="J157" s="333"/>
      <c r="K157" s="333"/>
      <c r="L157" s="333"/>
      <c r="M157" s="333"/>
      <c r="N157" s="333"/>
      <c r="O157" s="333"/>
      <c r="P157" s="333"/>
      <c r="Q157" s="333"/>
      <c r="R157" s="335"/>
      <c r="S157" s="333"/>
      <c r="T157" s="333"/>
      <c r="U157" s="333"/>
      <c r="V157" s="333"/>
      <c r="W157" s="333"/>
      <c r="X157" s="333"/>
      <c r="Y157" s="333"/>
      <c r="Z157" s="335">
        <v>0</v>
      </c>
      <c r="AA157" s="333"/>
      <c r="AB157" s="333"/>
      <c r="AC157" s="333"/>
    </row>
    <row r="158" spans="1:30" ht="12.75">
      <c r="A158" s="343" t="s">
        <v>93</v>
      </c>
      <c r="B158" s="335"/>
      <c r="C158" s="335"/>
      <c r="D158" s="335"/>
      <c r="E158" s="333">
        <v>0</v>
      </c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7"/>
      <c r="S158" s="335"/>
      <c r="T158" s="335"/>
      <c r="U158" s="335"/>
      <c r="V158" s="335"/>
      <c r="W158" s="335"/>
      <c r="X158" s="335"/>
      <c r="Y158" s="335"/>
      <c r="Z158" s="335">
        <v>0</v>
      </c>
      <c r="AA158" s="335"/>
      <c r="AB158" s="335"/>
      <c r="AC158" s="335"/>
      <c r="AD158">
        <v>26</v>
      </c>
    </row>
    <row r="159" spans="1:29" ht="12.75">
      <c r="A159" s="334" t="s">
        <v>74</v>
      </c>
      <c r="B159" s="335">
        <v>261885</v>
      </c>
      <c r="C159" s="333">
        <v>79823</v>
      </c>
      <c r="D159" s="333">
        <v>341708</v>
      </c>
      <c r="E159" s="333">
        <v>11100</v>
      </c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  <c r="Q159" s="333">
        <v>9487</v>
      </c>
      <c r="R159" s="337">
        <v>7829</v>
      </c>
      <c r="S159" s="333">
        <v>1658</v>
      </c>
      <c r="T159" s="333"/>
      <c r="U159" s="333"/>
      <c r="V159" s="333"/>
      <c r="W159" s="333">
        <v>359</v>
      </c>
      <c r="X159" s="333">
        <v>1254</v>
      </c>
      <c r="Y159" s="333"/>
      <c r="Z159" s="335">
        <v>352808</v>
      </c>
      <c r="AA159" s="333"/>
      <c r="AB159" s="333"/>
      <c r="AC159" s="333">
        <v>352808</v>
      </c>
    </row>
    <row r="160" spans="1:29" ht="12.75">
      <c r="A160" s="334" t="s">
        <v>75</v>
      </c>
      <c r="B160" s="335">
        <v>385470</v>
      </c>
      <c r="C160" s="333">
        <v>5589</v>
      </c>
      <c r="D160" s="333">
        <v>391059</v>
      </c>
      <c r="E160" s="333">
        <v>12190</v>
      </c>
      <c r="F160" s="333"/>
      <c r="G160" s="333"/>
      <c r="H160" s="333"/>
      <c r="I160" s="333"/>
      <c r="J160" s="333"/>
      <c r="K160" s="333"/>
      <c r="L160" s="333"/>
      <c r="M160" s="333"/>
      <c r="N160" s="333"/>
      <c r="O160" s="333"/>
      <c r="P160" s="333"/>
      <c r="Q160" s="333">
        <v>10090</v>
      </c>
      <c r="R160" s="337">
        <v>8400</v>
      </c>
      <c r="S160" s="333">
        <v>1690</v>
      </c>
      <c r="T160" s="333"/>
      <c r="U160" s="333"/>
      <c r="V160" s="333">
        <v>900</v>
      </c>
      <c r="W160" s="333">
        <v>200</v>
      </c>
      <c r="X160" s="333">
        <v>1000</v>
      </c>
      <c r="Y160" s="333"/>
      <c r="Z160" s="335">
        <v>403249</v>
      </c>
      <c r="AA160" s="333"/>
      <c r="AB160" s="333"/>
      <c r="AC160" s="333">
        <v>403249</v>
      </c>
    </row>
    <row r="161" spans="1:29" ht="12.75">
      <c r="A161" s="334"/>
      <c r="B161" s="335"/>
      <c r="C161" s="333"/>
      <c r="D161" s="333"/>
      <c r="E161" s="333">
        <v>0</v>
      </c>
      <c r="F161" s="333"/>
      <c r="G161" s="333"/>
      <c r="H161" s="333"/>
      <c r="I161" s="333"/>
      <c r="J161" s="333"/>
      <c r="K161" s="333"/>
      <c r="L161" s="333"/>
      <c r="M161" s="333"/>
      <c r="N161" s="333"/>
      <c r="O161" s="333"/>
      <c r="P161" s="333"/>
      <c r="Q161" s="333">
        <v>0</v>
      </c>
      <c r="R161" s="333"/>
      <c r="S161" s="333"/>
      <c r="T161" s="333"/>
      <c r="U161" s="333"/>
      <c r="V161" s="333"/>
      <c r="W161" s="333"/>
      <c r="X161" s="333"/>
      <c r="Y161" s="333"/>
      <c r="Z161" s="335">
        <v>0</v>
      </c>
      <c r="AA161" s="333"/>
      <c r="AB161" s="333"/>
      <c r="AC161" s="333">
        <v>0</v>
      </c>
    </row>
    <row r="162" spans="1:29" ht="12.75">
      <c r="A162" s="334" t="s">
        <v>76</v>
      </c>
      <c r="B162" s="333">
        <v>377692</v>
      </c>
      <c r="C162" s="333">
        <v>5477</v>
      </c>
      <c r="D162" s="333">
        <v>383169</v>
      </c>
      <c r="E162" s="333">
        <v>11034</v>
      </c>
      <c r="F162" s="333">
        <v>0</v>
      </c>
      <c r="G162" s="333">
        <v>0</v>
      </c>
      <c r="H162" s="333">
        <v>0</v>
      </c>
      <c r="I162" s="333">
        <v>0</v>
      </c>
      <c r="J162" s="333">
        <v>0</v>
      </c>
      <c r="K162" s="333">
        <v>0</v>
      </c>
      <c r="L162" s="333">
        <v>0</v>
      </c>
      <c r="M162" s="345"/>
      <c r="N162" s="333">
        <v>0</v>
      </c>
      <c r="O162" s="333">
        <v>0</v>
      </c>
      <c r="P162" s="333">
        <v>0</v>
      </c>
      <c r="Q162" s="333">
        <v>9834</v>
      </c>
      <c r="R162" s="333">
        <v>7637</v>
      </c>
      <c r="S162" s="333">
        <v>1709</v>
      </c>
      <c r="T162" s="333">
        <v>302</v>
      </c>
      <c r="U162" s="333">
        <v>186</v>
      </c>
      <c r="V162" s="333">
        <v>0</v>
      </c>
      <c r="W162" s="333">
        <v>200</v>
      </c>
      <c r="X162" s="333">
        <v>1000</v>
      </c>
      <c r="Y162" s="333">
        <v>0</v>
      </c>
      <c r="Z162" s="335">
        <v>394203</v>
      </c>
      <c r="AA162" s="335"/>
      <c r="AB162" s="333"/>
      <c r="AC162" s="333">
        <v>394203</v>
      </c>
    </row>
    <row r="163" spans="1:29" ht="12.75">
      <c r="A163" s="334"/>
      <c r="B163" s="335"/>
      <c r="C163" s="335"/>
      <c r="D163" s="335"/>
      <c r="E163" s="333">
        <v>0</v>
      </c>
      <c r="F163" s="333"/>
      <c r="G163" s="333"/>
      <c r="H163" s="333"/>
      <c r="I163" s="333"/>
      <c r="J163" s="333"/>
      <c r="K163" s="333"/>
      <c r="L163" s="333"/>
      <c r="M163" s="333"/>
      <c r="N163" s="333"/>
      <c r="O163" s="333"/>
      <c r="P163" s="333"/>
      <c r="Q163" s="333"/>
      <c r="R163" s="335"/>
      <c r="S163" s="333"/>
      <c r="T163" s="333"/>
      <c r="U163" s="333"/>
      <c r="V163" s="333"/>
      <c r="W163" s="333"/>
      <c r="X163" s="333"/>
      <c r="Y163" s="333"/>
      <c r="Z163" s="335">
        <v>0</v>
      </c>
      <c r="AA163" s="333"/>
      <c r="AB163" s="333"/>
      <c r="AC163" s="333"/>
    </row>
    <row r="164" spans="1:29" ht="12.75">
      <c r="A164" s="343" t="s">
        <v>94</v>
      </c>
      <c r="B164" s="335"/>
      <c r="C164" s="335"/>
      <c r="D164" s="335"/>
      <c r="E164" s="333">
        <v>0</v>
      </c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3"/>
      <c r="S164" s="335"/>
      <c r="T164" s="335"/>
      <c r="U164" s="335"/>
      <c r="V164" s="335"/>
      <c r="W164" s="335"/>
      <c r="X164" s="335"/>
      <c r="Y164" s="335"/>
      <c r="Z164" s="335">
        <v>0</v>
      </c>
      <c r="AA164" s="335"/>
      <c r="AB164" s="335"/>
      <c r="AC164" s="335"/>
    </row>
    <row r="165" spans="1:30" ht="12.75">
      <c r="A165" s="334" t="s">
        <v>74</v>
      </c>
      <c r="B165" s="335">
        <v>71525</v>
      </c>
      <c r="C165" s="333">
        <v>21801</v>
      </c>
      <c r="D165" s="333">
        <v>93326</v>
      </c>
      <c r="E165" s="333">
        <v>1230</v>
      </c>
      <c r="F165" s="333"/>
      <c r="G165" s="333"/>
      <c r="H165" s="333">
        <v>362</v>
      </c>
      <c r="I165" s="333"/>
      <c r="J165" s="333"/>
      <c r="K165" s="333"/>
      <c r="L165" s="333"/>
      <c r="M165" s="333"/>
      <c r="N165" s="333"/>
      <c r="O165" s="333"/>
      <c r="P165" s="333"/>
      <c r="Q165" s="333">
        <v>868</v>
      </c>
      <c r="R165" s="333"/>
      <c r="S165" s="333">
        <v>744</v>
      </c>
      <c r="T165" s="333">
        <v>124</v>
      </c>
      <c r="U165" s="333"/>
      <c r="V165" s="333"/>
      <c r="W165" s="333"/>
      <c r="X165" s="333"/>
      <c r="Y165" s="333"/>
      <c r="Z165" s="335">
        <v>94556</v>
      </c>
      <c r="AA165" s="333"/>
      <c r="AB165" s="333"/>
      <c r="AC165" s="333">
        <v>94556</v>
      </c>
      <c r="AD165">
        <v>27</v>
      </c>
    </row>
    <row r="166" spans="1:29" ht="12.75">
      <c r="A166" s="334" t="s">
        <v>75</v>
      </c>
      <c r="B166" s="348">
        <v>113904</v>
      </c>
      <c r="C166" s="333">
        <v>1652</v>
      </c>
      <c r="D166" s="333">
        <v>115556</v>
      </c>
      <c r="E166" s="333">
        <v>1048</v>
      </c>
      <c r="F166" s="333"/>
      <c r="G166" s="333"/>
      <c r="H166" s="333">
        <v>100</v>
      </c>
      <c r="I166" s="333"/>
      <c r="J166" s="333"/>
      <c r="K166" s="333"/>
      <c r="L166" s="333"/>
      <c r="M166" s="333"/>
      <c r="N166" s="333"/>
      <c r="O166" s="333"/>
      <c r="P166" s="333"/>
      <c r="Q166" s="333">
        <v>948</v>
      </c>
      <c r="R166" s="333"/>
      <c r="S166" s="333">
        <v>805</v>
      </c>
      <c r="T166" s="333">
        <v>143</v>
      </c>
      <c r="U166" s="333"/>
      <c r="V166" s="333"/>
      <c r="W166" s="333"/>
      <c r="X166" s="333"/>
      <c r="Y166" s="333"/>
      <c r="Z166" s="335">
        <v>116604</v>
      </c>
      <c r="AA166" s="333"/>
      <c r="AB166" s="333"/>
      <c r="AC166" s="333">
        <v>116604</v>
      </c>
    </row>
    <row r="167" spans="1:29" ht="12.75">
      <c r="A167" s="334"/>
      <c r="B167" s="335">
        <v>0</v>
      </c>
      <c r="C167" s="333"/>
      <c r="D167" s="333"/>
      <c r="E167" s="333">
        <v>0</v>
      </c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>
        <v>0</v>
      </c>
      <c r="R167" s="333"/>
      <c r="S167" s="333"/>
      <c r="T167" s="333"/>
      <c r="U167" s="333"/>
      <c r="V167" s="333"/>
      <c r="W167" s="333"/>
      <c r="X167" s="333"/>
      <c r="Y167" s="333"/>
      <c r="Z167" s="335">
        <v>0</v>
      </c>
      <c r="AA167" s="333"/>
      <c r="AB167" s="333"/>
      <c r="AC167" s="333">
        <v>0</v>
      </c>
    </row>
    <row r="168" spans="1:29" ht="12.75">
      <c r="A168" s="334" t="s">
        <v>76</v>
      </c>
      <c r="B168" s="333">
        <v>112255</v>
      </c>
      <c r="C168" s="333">
        <v>1628</v>
      </c>
      <c r="D168" s="333">
        <v>113883</v>
      </c>
      <c r="E168" s="333">
        <v>1230</v>
      </c>
      <c r="F168" s="333">
        <v>0</v>
      </c>
      <c r="G168" s="333">
        <v>0</v>
      </c>
      <c r="H168" s="333">
        <v>362</v>
      </c>
      <c r="I168" s="333">
        <v>0</v>
      </c>
      <c r="J168" s="333">
        <v>0</v>
      </c>
      <c r="K168" s="333">
        <v>0</v>
      </c>
      <c r="L168" s="333">
        <v>0</v>
      </c>
      <c r="M168" s="333"/>
      <c r="N168" s="333">
        <v>0</v>
      </c>
      <c r="O168" s="333">
        <v>0</v>
      </c>
      <c r="P168" s="333">
        <v>0</v>
      </c>
      <c r="Q168" s="333">
        <v>868</v>
      </c>
      <c r="R168" s="333">
        <v>0</v>
      </c>
      <c r="S168" s="333">
        <v>746</v>
      </c>
      <c r="T168" s="333">
        <v>122</v>
      </c>
      <c r="U168" s="333">
        <v>0</v>
      </c>
      <c r="V168" s="333">
        <v>0</v>
      </c>
      <c r="W168" s="333">
        <v>0</v>
      </c>
      <c r="X168" s="333">
        <v>0</v>
      </c>
      <c r="Y168" s="333">
        <v>0</v>
      </c>
      <c r="Z168" s="335">
        <v>115113</v>
      </c>
      <c r="AA168" s="335"/>
      <c r="AB168" s="333"/>
      <c r="AC168" s="333">
        <v>115113</v>
      </c>
    </row>
    <row r="169" spans="1:29" ht="12.75">
      <c r="A169" s="334"/>
      <c r="B169" s="335"/>
      <c r="C169" s="335"/>
      <c r="D169" s="335"/>
      <c r="E169" s="333">
        <v>0</v>
      </c>
      <c r="F169" s="333"/>
      <c r="G169" s="333"/>
      <c r="H169" s="333"/>
      <c r="I169" s="333"/>
      <c r="J169" s="333"/>
      <c r="K169" s="333"/>
      <c r="L169" s="333"/>
      <c r="M169" s="333"/>
      <c r="N169" s="333"/>
      <c r="O169" s="333"/>
      <c r="P169" s="333"/>
      <c r="Q169" s="333"/>
      <c r="R169" s="335"/>
      <c r="S169" s="333"/>
      <c r="T169" s="333"/>
      <c r="U169" s="333"/>
      <c r="V169" s="333"/>
      <c r="W169" s="333"/>
      <c r="X169" s="333"/>
      <c r="Y169" s="333"/>
      <c r="Z169" s="335">
        <v>0</v>
      </c>
      <c r="AA169" s="333"/>
      <c r="AB169" s="333"/>
      <c r="AC169" s="333"/>
    </row>
    <row r="170" spans="1:30" ht="12.75">
      <c r="A170" s="343" t="s">
        <v>95</v>
      </c>
      <c r="B170" s="335"/>
      <c r="C170" s="335"/>
      <c r="D170" s="335"/>
      <c r="E170" s="333">
        <v>0</v>
      </c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3"/>
      <c r="S170" s="335"/>
      <c r="T170" s="335"/>
      <c r="U170" s="335"/>
      <c r="V170" s="335"/>
      <c r="W170" s="335"/>
      <c r="X170" s="335"/>
      <c r="Y170" s="335"/>
      <c r="Z170" s="335">
        <v>0</v>
      </c>
      <c r="AA170" s="335"/>
      <c r="AB170" s="335"/>
      <c r="AC170" s="335"/>
      <c r="AD170">
        <v>28</v>
      </c>
    </row>
    <row r="171" spans="1:29" ht="12.75">
      <c r="A171" s="334" t="s">
        <v>74</v>
      </c>
      <c r="B171" s="335">
        <v>47442</v>
      </c>
      <c r="C171" s="333">
        <v>14460</v>
      </c>
      <c r="D171" s="333">
        <v>61902</v>
      </c>
      <c r="E171" s="333">
        <v>8499</v>
      </c>
      <c r="F171" s="333"/>
      <c r="G171" s="333"/>
      <c r="H171" s="333">
        <v>187</v>
      </c>
      <c r="I171" s="333"/>
      <c r="J171" s="333"/>
      <c r="K171" s="333"/>
      <c r="L171" s="333">
        <v>290</v>
      </c>
      <c r="M171" s="333"/>
      <c r="N171" s="333"/>
      <c r="O171" s="333"/>
      <c r="P171" s="333"/>
      <c r="Q171" s="333">
        <v>0</v>
      </c>
      <c r="R171" s="333"/>
      <c r="S171" s="333"/>
      <c r="T171" s="333"/>
      <c r="U171" s="333"/>
      <c r="V171" s="333">
        <v>48</v>
      </c>
      <c r="W171" s="333">
        <v>2005</v>
      </c>
      <c r="X171" s="333">
        <v>5969</v>
      </c>
      <c r="Y171" s="333"/>
      <c r="Z171" s="335">
        <v>70401</v>
      </c>
      <c r="AA171" s="333"/>
      <c r="AB171" s="333"/>
      <c r="AC171" s="333">
        <v>70401</v>
      </c>
    </row>
    <row r="172" spans="1:29" ht="12.75">
      <c r="A172" s="334" t="s">
        <v>75</v>
      </c>
      <c r="B172" s="335">
        <v>62994</v>
      </c>
      <c r="C172" s="333">
        <v>913</v>
      </c>
      <c r="D172" s="333">
        <v>63907</v>
      </c>
      <c r="E172" s="333">
        <v>7113</v>
      </c>
      <c r="F172" s="333"/>
      <c r="G172" s="333"/>
      <c r="H172" s="333">
        <v>187</v>
      </c>
      <c r="I172" s="333"/>
      <c r="J172" s="333"/>
      <c r="K172" s="333"/>
      <c r="L172" s="333">
        <v>290</v>
      </c>
      <c r="M172" s="333"/>
      <c r="N172" s="333"/>
      <c r="O172" s="333"/>
      <c r="P172" s="333"/>
      <c r="Q172" s="333">
        <v>0</v>
      </c>
      <c r="R172" s="333"/>
      <c r="S172" s="333"/>
      <c r="T172" s="333"/>
      <c r="U172" s="333"/>
      <c r="V172" s="333"/>
      <c r="W172" s="333">
        <v>2700</v>
      </c>
      <c r="X172" s="333">
        <v>3936</v>
      </c>
      <c r="Y172" s="333"/>
      <c r="Z172" s="335">
        <v>71020</v>
      </c>
      <c r="AA172" s="335"/>
      <c r="AB172" s="333"/>
      <c r="AC172" s="333">
        <v>71020</v>
      </c>
    </row>
    <row r="173" spans="1:29" ht="12.75">
      <c r="A173" s="334"/>
      <c r="B173" s="335">
        <v>0</v>
      </c>
      <c r="C173" s="333">
        <v>0</v>
      </c>
      <c r="D173" s="333"/>
      <c r="E173" s="333">
        <v>0</v>
      </c>
      <c r="F173" s="333"/>
      <c r="G173" s="333"/>
      <c r="H173" s="333"/>
      <c r="I173" s="333"/>
      <c r="J173" s="333"/>
      <c r="K173" s="333"/>
      <c r="L173" s="333"/>
      <c r="M173" s="333"/>
      <c r="N173" s="333"/>
      <c r="O173" s="333"/>
      <c r="P173" s="333"/>
      <c r="Q173" s="333">
        <v>0</v>
      </c>
      <c r="R173" s="333"/>
      <c r="S173" s="333"/>
      <c r="T173" s="333"/>
      <c r="U173" s="333"/>
      <c r="V173" s="333"/>
      <c r="W173" s="333"/>
      <c r="X173" s="333"/>
      <c r="Y173" s="333"/>
      <c r="Z173" s="335">
        <v>0</v>
      </c>
      <c r="AA173" s="335"/>
      <c r="AB173" s="333"/>
      <c r="AC173" s="333">
        <v>0</v>
      </c>
    </row>
    <row r="174" spans="1:29" ht="12.75">
      <c r="A174" s="334" t="s">
        <v>76</v>
      </c>
      <c r="B174" s="333">
        <v>63882</v>
      </c>
      <c r="C174" s="333">
        <v>926</v>
      </c>
      <c r="D174" s="333">
        <v>64808</v>
      </c>
      <c r="E174" s="333">
        <v>8499</v>
      </c>
      <c r="F174" s="333">
        <v>0</v>
      </c>
      <c r="G174" s="333">
        <v>0</v>
      </c>
      <c r="H174" s="333">
        <v>187</v>
      </c>
      <c r="I174" s="333">
        <v>0</v>
      </c>
      <c r="J174" s="333">
        <v>0</v>
      </c>
      <c r="K174" s="333">
        <v>0</v>
      </c>
      <c r="L174" s="333">
        <v>290</v>
      </c>
      <c r="M174" s="333"/>
      <c r="N174" s="333">
        <v>0</v>
      </c>
      <c r="O174" s="333">
        <v>0</v>
      </c>
      <c r="P174" s="333">
        <v>0</v>
      </c>
      <c r="Q174" s="333">
        <v>0</v>
      </c>
      <c r="R174" s="333">
        <v>0</v>
      </c>
      <c r="S174" s="333">
        <v>0</v>
      </c>
      <c r="T174" s="333">
        <v>0</v>
      </c>
      <c r="U174" s="333">
        <v>0</v>
      </c>
      <c r="V174" s="333">
        <v>48</v>
      </c>
      <c r="W174" s="333">
        <v>2005</v>
      </c>
      <c r="X174" s="345">
        <v>5969</v>
      </c>
      <c r="Y174" s="333">
        <v>0</v>
      </c>
      <c r="Z174" s="335">
        <v>73307</v>
      </c>
      <c r="AA174" s="335"/>
      <c r="AB174" s="333"/>
      <c r="AC174" s="333">
        <v>73307</v>
      </c>
    </row>
    <row r="175" spans="1:29" ht="12.75">
      <c r="A175" s="334"/>
      <c r="B175" s="335"/>
      <c r="C175" s="335"/>
      <c r="D175" s="335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35"/>
      <c r="S175" s="333"/>
      <c r="T175" s="333"/>
      <c r="U175" s="333"/>
      <c r="V175" s="333"/>
      <c r="W175" s="333"/>
      <c r="X175" s="333"/>
      <c r="Y175" s="333"/>
      <c r="Z175" s="335">
        <v>0</v>
      </c>
      <c r="AA175" s="333"/>
      <c r="AB175" s="333"/>
      <c r="AC175" s="333"/>
    </row>
    <row r="176" spans="1:30" ht="24">
      <c r="A176" s="344" t="s">
        <v>96</v>
      </c>
      <c r="B176" s="335"/>
      <c r="C176" s="335"/>
      <c r="D176" s="335"/>
      <c r="E176" s="333">
        <v>0</v>
      </c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3"/>
      <c r="S176" s="335"/>
      <c r="T176" s="335"/>
      <c r="U176" s="335"/>
      <c r="V176" s="335"/>
      <c r="W176" s="335"/>
      <c r="X176" s="335"/>
      <c r="Y176" s="335"/>
      <c r="Z176" s="335">
        <v>0</v>
      </c>
      <c r="AA176" s="335"/>
      <c r="AB176" s="335"/>
      <c r="AC176" s="335"/>
      <c r="AD176">
        <v>29</v>
      </c>
    </row>
    <row r="177" spans="1:29" ht="12.75">
      <c r="A177" s="334" t="s">
        <v>74</v>
      </c>
      <c r="B177" s="335">
        <v>22754</v>
      </c>
      <c r="C177" s="333">
        <v>6936</v>
      </c>
      <c r="D177" s="333">
        <v>29690</v>
      </c>
      <c r="E177" s="333">
        <v>1970</v>
      </c>
      <c r="F177" s="333"/>
      <c r="G177" s="333"/>
      <c r="H177" s="333">
        <v>937</v>
      </c>
      <c r="I177" s="333"/>
      <c r="J177" s="333"/>
      <c r="K177" s="333"/>
      <c r="L177" s="333"/>
      <c r="M177" s="333"/>
      <c r="N177" s="333"/>
      <c r="O177" s="333"/>
      <c r="P177" s="333"/>
      <c r="Q177" s="333">
        <v>0</v>
      </c>
      <c r="R177" s="333"/>
      <c r="S177" s="333"/>
      <c r="T177" s="333"/>
      <c r="U177" s="333"/>
      <c r="V177" s="333"/>
      <c r="W177" s="333">
        <v>608</v>
      </c>
      <c r="X177" s="333">
        <v>425</v>
      </c>
      <c r="Y177" s="333"/>
      <c r="Z177" s="335">
        <v>31660</v>
      </c>
      <c r="AA177" s="333"/>
      <c r="AB177" s="333"/>
      <c r="AC177" s="333">
        <v>31660</v>
      </c>
    </row>
    <row r="178" spans="1:31" ht="12.75">
      <c r="A178" s="334" t="s">
        <v>75</v>
      </c>
      <c r="B178" s="371">
        <v>34750</v>
      </c>
      <c r="C178" s="333">
        <v>504</v>
      </c>
      <c r="D178" s="333">
        <v>35254</v>
      </c>
      <c r="E178" s="333">
        <v>5928</v>
      </c>
      <c r="F178" s="333"/>
      <c r="G178" s="333"/>
      <c r="H178" s="333">
        <v>938</v>
      </c>
      <c r="I178" s="333"/>
      <c r="J178" s="333"/>
      <c r="K178" s="333"/>
      <c r="L178" s="333"/>
      <c r="M178" s="333"/>
      <c r="N178" s="333"/>
      <c r="O178" s="333">
        <v>300</v>
      </c>
      <c r="P178" s="333"/>
      <c r="Q178" s="333">
        <v>0</v>
      </c>
      <c r="R178" s="333"/>
      <c r="S178" s="333"/>
      <c r="T178" s="333"/>
      <c r="U178" s="333"/>
      <c r="V178" s="333"/>
      <c r="W178" s="333">
        <v>3794</v>
      </c>
      <c r="X178" s="333">
        <v>896</v>
      </c>
      <c r="Y178" s="333"/>
      <c r="Z178" s="335">
        <v>41182</v>
      </c>
      <c r="AA178" s="333"/>
      <c r="AB178" s="333"/>
      <c r="AC178" s="333">
        <v>41182</v>
      </c>
      <c r="AD178" s="350"/>
      <c r="AE178" s="350"/>
    </row>
    <row r="179" spans="1:29" ht="12.75">
      <c r="A179" s="334"/>
      <c r="B179" s="335">
        <v>0</v>
      </c>
      <c r="C179" s="333">
        <v>0</v>
      </c>
      <c r="D179" s="333"/>
      <c r="E179" s="333">
        <v>0</v>
      </c>
      <c r="F179" s="333"/>
      <c r="G179" s="333"/>
      <c r="H179" s="333"/>
      <c r="I179" s="333"/>
      <c r="J179" s="333"/>
      <c r="K179" s="333"/>
      <c r="L179" s="333"/>
      <c r="M179" s="333"/>
      <c r="N179" s="333"/>
      <c r="O179" s="333"/>
      <c r="P179" s="333"/>
      <c r="Q179" s="333">
        <v>0</v>
      </c>
      <c r="R179" s="333"/>
      <c r="S179" s="333"/>
      <c r="T179" s="333"/>
      <c r="U179" s="333"/>
      <c r="V179" s="333"/>
      <c r="W179" s="333"/>
      <c r="X179" s="333"/>
      <c r="Y179" s="333"/>
      <c r="Z179" s="335">
        <v>0</v>
      </c>
      <c r="AA179" s="333"/>
      <c r="AB179" s="333"/>
      <c r="AC179" s="333">
        <v>0</v>
      </c>
    </row>
    <row r="180" spans="1:29" ht="12.75">
      <c r="A180" s="334" t="s">
        <v>76</v>
      </c>
      <c r="B180" s="333">
        <v>35648</v>
      </c>
      <c r="C180" s="333">
        <v>517</v>
      </c>
      <c r="D180" s="333">
        <v>36165</v>
      </c>
      <c r="E180" s="333">
        <v>1970</v>
      </c>
      <c r="F180" s="333">
        <v>0</v>
      </c>
      <c r="G180" s="333">
        <v>0</v>
      </c>
      <c r="H180" s="333">
        <v>937</v>
      </c>
      <c r="I180" s="333">
        <v>0</v>
      </c>
      <c r="J180" s="333">
        <v>0</v>
      </c>
      <c r="K180" s="333">
        <v>0</v>
      </c>
      <c r="L180" s="333">
        <v>0</v>
      </c>
      <c r="M180" s="333"/>
      <c r="N180" s="333">
        <v>0</v>
      </c>
      <c r="O180" s="333">
        <v>0</v>
      </c>
      <c r="P180" s="333">
        <v>0</v>
      </c>
      <c r="Q180" s="333">
        <v>0</v>
      </c>
      <c r="R180" s="333">
        <v>0</v>
      </c>
      <c r="S180" s="333">
        <v>0</v>
      </c>
      <c r="T180" s="333">
        <v>0</v>
      </c>
      <c r="U180" s="333">
        <v>0</v>
      </c>
      <c r="V180" s="333">
        <v>0</v>
      </c>
      <c r="W180" s="333">
        <v>608</v>
      </c>
      <c r="X180" s="333">
        <v>425</v>
      </c>
      <c r="Y180" s="333">
        <v>0</v>
      </c>
      <c r="Z180" s="335">
        <v>38135</v>
      </c>
      <c r="AA180" s="335"/>
      <c r="AB180" s="333"/>
      <c r="AC180" s="333">
        <v>38135</v>
      </c>
    </row>
    <row r="181" spans="1:29" ht="12.75">
      <c r="A181" s="334"/>
      <c r="B181" s="335"/>
      <c r="C181" s="335"/>
      <c r="D181" s="335"/>
      <c r="E181" s="333">
        <v>0</v>
      </c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5"/>
      <c r="S181" s="333"/>
      <c r="T181" s="333"/>
      <c r="U181" s="333"/>
      <c r="V181" s="333"/>
      <c r="W181" s="333"/>
      <c r="X181" s="333"/>
      <c r="Y181" s="333"/>
      <c r="Z181" s="335">
        <v>0</v>
      </c>
      <c r="AA181" s="333"/>
      <c r="AB181" s="333"/>
      <c r="AC181" s="333"/>
    </row>
    <row r="182" spans="1:30" ht="12.75">
      <c r="A182" s="406" t="s">
        <v>97</v>
      </c>
      <c r="B182" s="407"/>
      <c r="C182" s="408"/>
      <c r="D182" s="365"/>
      <c r="E182" s="333">
        <v>0</v>
      </c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>
        <v>0</v>
      </c>
      <c r="AA182" s="335"/>
      <c r="AB182" s="335"/>
      <c r="AC182" s="335"/>
      <c r="AD182">
        <v>30</v>
      </c>
    </row>
    <row r="183" spans="1:29" ht="12.75">
      <c r="A183" s="334" t="s">
        <v>98</v>
      </c>
      <c r="B183" s="335">
        <v>122668</v>
      </c>
      <c r="C183" s="335">
        <v>37259</v>
      </c>
      <c r="D183" s="333">
        <v>159927</v>
      </c>
      <c r="E183" s="333">
        <v>33069</v>
      </c>
      <c r="F183" s="335">
        <v>2572</v>
      </c>
      <c r="G183" s="335">
        <v>0</v>
      </c>
      <c r="H183" s="335">
        <v>496</v>
      </c>
      <c r="I183" s="335">
        <v>0</v>
      </c>
      <c r="J183" s="335">
        <v>0</v>
      </c>
      <c r="K183" s="335">
        <v>0</v>
      </c>
      <c r="L183" s="335">
        <v>0</v>
      </c>
      <c r="M183" s="335">
        <v>0</v>
      </c>
      <c r="N183" s="335">
        <v>0</v>
      </c>
      <c r="O183" s="335">
        <v>0</v>
      </c>
      <c r="P183" s="335">
        <v>0</v>
      </c>
      <c r="Q183" s="337">
        <v>28460</v>
      </c>
      <c r="R183" s="335">
        <v>15654</v>
      </c>
      <c r="S183" s="335">
        <v>11584</v>
      </c>
      <c r="T183" s="335">
        <v>885</v>
      </c>
      <c r="U183" s="335">
        <v>337</v>
      </c>
      <c r="V183" s="335">
        <v>0</v>
      </c>
      <c r="W183" s="335">
        <v>1168</v>
      </c>
      <c r="X183" s="335">
        <v>373</v>
      </c>
      <c r="Y183" s="335">
        <v>0</v>
      </c>
      <c r="Z183" s="335">
        <v>192996</v>
      </c>
      <c r="AA183" s="335"/>
      <c r="AB183" s="335">
        <v>0</v>
      </c>
      <c r="AC183" s="333">
        <v>192996</v>
      </c>
    </row>
    <row r="184" spans="1:29" ht="12.75">
      <c r="A184" s="334" t="s">
        <v>99</v>
      </c>
      <c r="B184" s="348">
        <v>103696</v>
      </c>
      <c r="C184" s="335">
        <v>31607</v>
      </c>
      <c r="D184" s="333">
        <v>135303</v>
      </c>
      <c r="E184" s="333">
        <v>24226</v>
      </c>
      <c r="F184" s="335">
        <v>2572</v>
      </c>
      <c r="G184" s="335"/>
      <c r="H184" s="335">
        <v>216</v>
      </c>
      <c r="I184" s="335">
        <v>0</v>
      </c>
      <c r="J184" s="335"/>
      <c r="K184" s="335"/>
      <c r="L184" s="335"/>
      <c r="M184" s="335"/>
      <c r="N184" s="335"/>
      <c r="O184" s="335"/>
      <c r="P184" s="335"/>
      <c r="Q184" s="345">
        <v>20047</v>
      </c>
      <c r="R184" s="348">
        <v>15654</v>
      </c>
      <c r="S184" s="335">
        <v>4161</v>
      </c>
      <c r="T184" s="335">
        <v>172</v>
      </c>
      <c r="U184" s="335">
        <v>60</v>
      </c>
      <c r="V184" s="335"/>
      <c r="W184" s="335">
        <v>1018</v>
      </c>
      <c r="X184" s="335">
        <v>373</v>
      </c>
      <c r="Y184" s="335"/>
      <c r="Z184" s="335">
        <v>159529</v>
      </c>
      <c r="AA184" s="335"/>
      <c r="AB184" s="335"/>
      <c r="AC184" s="333">
        <v>159529</v>
      </c>
    </row>
    <row r="185" spans="1:29" ht="12.75">
      <c r="A185" s="334" t="s">
        <v>100</v>
      </c>
      <c r="B185" s="335">
        <v>18972</v>
      </c>
      <c r="C185" s="335">
        <v>5652</v>
      </c>
      <c r="D185" s="333">
        <v>24624</v>
      </c>
      <c r="E185" s="333">
        <v>8843</v>
      </c>
      <c r="F185" s="335"/>
      <c r="G185" s="335"/>
      <c r="H185" s="335">
        <v>280</v>
      </c>
      <c r="I185" s="335"/>
      <c r="J185" s="335"/>
      <c r="K185" s="335"/>
      <c r="L185" s="335"/>
      <c r="M185" s="335"/>
      <c r="N185" s="335"/>
      <c r="O185" s="335"/>
      <c r="P185" s="335"/>
      <c r="Q185" s="345">
        <v>8413</v>
      </c>
      <c r="R185" s="348"/>
      <c r="S185" s="335">
        <v>7423</v>
      </c>
      <c r="T185" s="335">
        <v>713</v>
      </c>
      <c r="U185" s="335">
        <v>277</v>
      </c>
      <c r="V185" s="335"/>
      <c r="W185" s="335">
        <v>150</v>
      </c>
      <c r="X185" s="335"/>
      <c r="Y185" s="335"/>
      <c r="Z185" s="335">
        <v>33467</v>
      </c>
      <c r="AA185" s="335"/>
      <c r="AB185" s="335"/>
      <c r="AC185" s="333">
        <v>33467</v>
      </c>
    </row>
    <row r="186" spans="1:29" ht="12.75">
      <c r="A186" s="333" t="s">
        <v>101</v>
      </c>
      <c r="B186" s="335">
        <v>177730</v>
      </c>
      <c r="C186" s="335">
        <v>2577</v>
      </c>
      <c r="D186" s="333">
        <v>180307</v>
      </c>
      <c r="E186" s="333">
        <v>32425</v>
      </c>
      <c r="F186" s="335">
        <v>2572</v>
      </c>
      <c r="G186" s="335">
        <v>0</v>
      </c>
      <c r="H186" s="335">
        <v>496</v>
      </c>
      <c r="I186" s="335">
        <v>0</v>
      </c>
      <c r="J186" s="335">
        <v>0</v>
      </c>
      <c r="K186" s="335">
        <v>0</v>
      </c>
      <c r="L186" s="335">
        <v>0</v>
      </c>
      <c r="M186" s="335">
        <v>0</v>
      </c>
      <c r="N186" s="335">
        <v>0</v>
      </c>
      <c r="O186" s="335">
        <v>0</v>
      </c>
      <c r="P186" s="335">
        <v>0</v>
      </c>
      <c r="Q186" s="333">
        <v>27643</v>
      </c>
      <c r="R186" s="335">
        <v>15680</v>
      </c>
      <c r="S186" s="335">
        <v>10898</v>
      </c>
      <c r="T186" s="335">
        <v>765</v>
      </c>
      <c r="U186" s="335">
        <v>300</v>
      </c>
      <c r="V186" s="335">
        <v>0</v>
      </c>
      <c r="W186" s="335">
        <v>1250</v>
      </c>
      <c r="X186" s="335">
        <v>464</v>
      </c>
      <c r="Y186" s="335">
        <v>0</v>
      </c>
      <c r="Z186" s="335">
        <v>212732</v>
      </c>
      <c r="AA186" s="335"/>
      <c r="AB186" s="335">
        <v>0</v>
      </c>
      <c r="AC186" s="333">
        <v>212732</v>
      </c>
    </row>
    <row r="187" spans="1:29" ht="12.75">
      <c r="A187" s="334" t="s">
        <v>99</v>
      </c>
      <c r="B187" s="371">
        <v>152481</v>
      </c>
      <c r="C187" s="333">
        <v>2211</v>
      </c>
      <c r="D187" s="333">
        <v>154692</v>
      </c>
      <c r="E187" s="333">
        <v>23532</v>
      </c>
      <c r="F187" s="333">
        <v>2572</v>
      </c>
      <c r="G187" s="333"/>
      <c r="H187" s="333">
        <v>216</v>
      </c>
      <c r="I187" s="333"/>
      <c r="J187" s="333"/>
      <c r="K187" s="333"/>
      <c r="L187" s="333"/>
      <c r="M187" s="333"/>
      <c r="N187" s="333"/>
      <c r="O187" s="333"/>
      <c r="P187" s="333"/>
      <c r="Q187" s="333">
        <v>19230</v>
      </c>
      <c r="R187" s="333">
        <v>15680</v>
      </c>
      <c r="S187" s="333">
        <v>3000</v>
      </c>
      <c r="T187" s="333">
        <v>300</v>
      </c>
      <c r="U187" s="333">
        <v>250</v>
      </c>
      <c r="V187" s="333"/>
      <c r="W187" s="335">
        <v>1050</v>
      </c>
      <c r="X187" s="333">
        <v>464</v>
      </c>
      <c r="Y187" s="333"/>
      <c r="Z187" s="335">
        <v>178224</v>
      </c>
      <c r="AA187" s="333"/>
      <c r="AB187" s="333"/>
      <c r="AC187" s="333">
        <v>178224</v>
      </c>
    </row>
    <row r="188" spans="1:29" ht="12.75">
      <c r="A188" s="334" t="s">
        <v>100</v>
      </c>
      <c r="B188" s="335">
        <v>25249</v>
      </c>
      <c r="C188" s="333">
        <v>366</v>
      </c>
      <c r="D188" s="333">
        <v>25615</v>
      </c>
      <c r="E188" s="333">
        <v>8893</v>
      </c>
      <c r="F188" s="333"/>
      <c r="G188" s="333"/>
      <c r="H188" s="333">
        <v>280</v>
      </c>
      <c r="I188" s="333"/>
      <c r="J188" s="333"/>
      <c r="K188" s="333"/>
      <c r="L188" s="333"/>
      <c r="M188" s="333"/>
      <c r="N188" s="333"/>
      <c r="O188" s="333"/>
      <c r="P188" s="333"/>
      <c r="Q188" s="333">
        <v>8413</v>
      </c>
      <c r="R188" s="333"/>
      <c r="S188" s="333">
        <v>7898</v>
      </c>
      <c r="T188" s="333">
        <v>465</v>
      </c>
      <c r="U188" s="333">
        <v>50</v>
      </c>
      <c r="V188" s="333"/>
      <c r="W188" s="333">
        <v>200</v>
      </c>
      <c r="X188" s="333"/>
      <c r="Y188" s="333"/>
      <c r="Z188" s="335">
        <v>34508</v>
      </c>
      <c r="AA188" s="333"/>
      <c r="AB188" s="333"/>
      <c r="AC188" s="333">
        <v>34508</v>
      </c>
    </row>
    <row r="189" spans="1:29" ht="12.75">
      <c r="A189" s="333"/>
      <c r="B189" s="335">
        <v>0</v>
      </c>
      <c r="C189" s="335">
        <v>0</v>
      </c>
      <c r="D189" s="335"/>
      <c r="E189" s="333">
        <v>0</v>
      </c>
      <c r="F189" s="333">
        <v>0</v>
      </c>
      <c r="G189" s="333">
        <v>0</v>
      </c>
      <c r="H189" s="333">
        <v>0</v>
      </c>
      <c r="I189" s="333">
        <v>0</v>
      </c>
      <c r="J189" s="333">
        <v>0</v>
      </c>
      <c r="K189" s="333">
        <v>0</v>
      </c>
      <c r="L189" s="333">
        <v>0</v>
      </c>
      <c r="M189" s="335">
        <v>0</v>
      </c>
      <c r="N189" s="333"/>
      <c r="O189" s="333"/>
      <c r="P189" s="333"/>
      <c r="Q189" s="335">
        <v>0</v>
      </c>
      <c r="R189" s="333"/>
      <c r="S189" s="333"/>
      <c r="T189" s="333"/>
      <c r="U189" s="333"/>
      <c r="V189" s="333"/>
      <c r="W189" s="333"/>
      <c r="X189" s="333"/>
      <c r="Y189" s="333"/>
      <c r="Z189" s="335">
        <v>0</v>
      </c>
      <c r="AA189" s="333"/>
      <c r="AB189" s="333"/>
      <c r="AC189" s="333">
        <v>0</v>
      </c>
    </row>
    <row r="190" spans="1:29" ht="12.75">
      <c r="A190" s="334" t="s">
        <v>99</v>
      </c>
      <c r="B190" s="335"/>
      <c r="C190" s="335"/>
      <c r="D190" s="335"/>
      <c r="E190" s="333">
        <v>0</v>
      </c>
      <c r="F190" s="333"/>
      <c r="G190" s="333"/>
      <c r="H190" s="333"/>
      <c r="I190" s="333"/>
      <c r="J190" s="333"/>
      <c r="K190" s="333"/>
      <c r="L190" s="333"/>
      <c r="M190" s="333"/>
      <c r="N190" s="333"/>
      <c r="O190" s="333"/>
      <c r="P190" s="333"/>
      <c r="Q190" s="333">
        <v>0</v>
      </c>
      <c r="R190" s="333"/>
      <c r="S190" s="333"/>
      <c r="T190" s="333"/>
      <c r="U190" s="333"/>
      <c r="V190" s="333"/>
      <c r="W190" s="333"/>
      <c r="X190" s="333"/>
      <c r="Y190" s="333"/>
      <c r="Z190" s="335">
        <v>0</v>
      </c>
      <c r="AA190" s="335"/>
      <c r="AB190" s="333"/>
      <c r="AC190" s="333">
        <v>0</v>
      </c>
    </row>
    <row r="191" spans="1:29" ht="12.75">
      <c r="A191" s="334" t="s">
        <v>100</v>
      </c>
      <c r="B191" s="335">
        <v>0</v>
      </c>
      <c r="C191" s="335">
        <v>0</v>
      </c>
      <c r="D191" s="335"/>
      <c r="E191" s="333">
        <v>0</v>
      </c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>
        <v>0</v>
      </c>
      <c r="R191" s="333"/>
      <c r="S191" s="333"/>
      <c r="T191" s="333"/>
      <c r="U191" s="333"/>
      <c r="V191" s="333"/>
      <c r="W191" s="333"/>
      <c r="X191" s="333"/>
      <c r="Y191" s="333"/>
      <c r="Z191" s="335">
        <v>0</v>
      </c>
      <c r="AA191" s="335"/>
      <c r="AB191" s="333"/>
      <c r="AC191" s="333">
        <v>0</v>
      </c>
    </row>
    <row r="192" spans="1:29" ht="12.75">
      <c r="A192" s="333" t="s">
        <v>102</v>
      </c>
      <c r="B192" s="335">
        <v>178058</v>
      </c>
      <c r="C192" s="335">
        <v>2582</v>
      </c>
      <c r="D192" s="333">
        <v>180640</v>
      </c>
      <c r="E192" s="333">
        <v>32252</v>
      </c>
      <c r="F192" s="335">
        <v>2572</v>
      </c>
      <c r="G192" s="335">
        <v>0</v>
      </c>
      <c r="H192" s="335">
        <v>496</v>
      </c>
      <c r="I192" s="335">
        <v>0</v>
      </c>
      <c r="J192" s="335">
        <v>0</v>
      </c>
      <c r="K192" s="335">
        <v>0</v>
      </c>
      <c r="L192" s="335">
        <v>0</v>
      </c>
      <c r="M192" s="335">
        <v>0</v>
      </c>
      <c r="N192" s="335">
        <v>0</v>
      </c>
      <c r="O192" s="335">
        <v>0</v>
      </c>
      <c r="P192" s="335">
        <v>0</v>
      </c>
      <c r="Q192" s="335">
        <v>27643</v>
      </c>
      <c r="R192" s="335">
        <v>15680</v>
      </c>
      <c r="S192" s="335">
        <v>10898</v>
      </c>
      <c r="T192" s="335">
        <v>765</v>
      </c>
      <c r="U192" s="335">
        <v>300</v>
      </c>
      <c r="V192" s="335">
        <v>0</v>
      </c>
      <c r="W192" s="335">
        <v>1168</v>
      </c>
      <c r="X192" s="335">
        <v>373</v>
      </c>
      <c r="Y192" s="335">
        <v>0</v>
      </c>
      <c r="Z192" s="335">
        <v>212892</v>
      </c>
      <c r="AA192" s="335">
        <v>0</v>
      </c>
      <c r="AB192" s="335">
        <v>0</v>
      </c>
      <c r="AC192" s="335">
        <v>212892</v>
      </c>
    </row>
    <row r="193" spans="1:29" ht="12.75">
      <c r="A193" s="334" t="s">
        <v>99</v>
      </c>
      <c r="B193" s="333">
        <v>150735</v>
      </c>
      <c r="C193" s="333">
        <v>2186</v>
      </c>
      <c r="D193" s="333">
        <v>152921</v>
      </c>
      <c r="E193" s="333">
        <v>23409</v>
      </c>
      <c r="F193" s="333">
        <v>2572</v>
      </c>
      <c r="G193" s="333">
        <v>0</v>
      </c>
      <c r="H193" s="333">
        <v>216</v>
      </c>
      <c r="I193" s="333">
        <v>0</v>
      </c>
      <c r="J193" s="333">
        <v>0</v>
      </c>
      <c r="K193" s="333">
        <v>0</v>
      </c>
      <c r="L193" s="333">
        <v>0</v>
      </c>
      <c r="M193" s="333"/>
      <c r="N193" s="333">
        <v>0</v>
      </c>
      <c r="O193" s="333">
        <v>0</v>
      </c>
      <c r="P193" s="333">
        <v>0</v>
      </c>
      <c r="Q193" s="333">
        <v>19230</v>
      </c>
      <c r="R193" s="333">
        <v>15680</v>
      </c>
      <c r="S193" s="333">
        <v>3000</v>
      </c>
      <c r="T193" s="333">
        <v>300</v>
      </c>
      <c r="U193" s="333">
        <v>250</v>
      </c>
      <c r="V193" s="333"/>
      <c r="W193" s="333">
        <v>1018</v>
      </c>
      <c r="X193" s="333">
        <v>373</v>
      </c>
      <c r="Y193" s="333">
        <v>0</v>
      </c>
      <c r="Z193" s="335">
        <v>176330</v>
      </c>
      <c r="AA193" s="335"/>
      <c r="AB193" s="333"/>
      <c r="AC193" s="333">
        <v>176330</v>
      </c>
    </row>
    <row r="194" spans="1:29" ht="12.75">
      <c r="A194" s="334" t="s">
        <v>100</v>
      </c>
      <c r="B194" s="333">
        <v>27323</v>
      </c>
      <c r="C194" s="333">
        <v>396</v>
      </c>
      <c r="D194" s="333">
        <v>27719</v>
      </c>
      <c r="E194" s="333">
        <v>8843</v>
      </c>
      <c r="F194" s="333">
        <v>0</v>
      </c>
      <c r="G194" s="333">
        <v>0</v>
      </c>
      <c r="H194" s="333">
        <v>280</v>
      </c>
      <c r="I194" s="333">
        <v>0</v>
      </c>
      <c r="J194" s="333">
        <v>0</v>
      </c>
      <c r="K194" s="333">
        <v>0</v>
      </c>
      <c r="L194" s="333">
        <v>0</v>
      </c>
      <c r="M194" s="333"/>
      <c r="N194" s="333">
        <v>0</v>
      </c>
      <c r="O194" s="333">
        <v>0</v>
      </c>
      <c r="P194" s="333">
        <v>0</v>
      </c>
      <c r="Q194" s="333">
        <v>8413</v>
      </c>
      <c r="R194" s="333"/>
      <c r="S194" s="333">
        <v>7898</v>
      </c>
      <c r="T194" s="333">
        <v>465</v>
      </c>
      <c r="U194" s="333">
        <v>50</v>
      </c>
      <c r="V194" s="333"/>
      <c r="W194" s="333">
        <v>150</v>
      </c>
      <c r="X194" s="333">
        <v>0</v>
      </c>
      <c r="Y194" s="333">
        <v>0</v>
      </c>
      <c r="Z194" s="335">
        <v>36562</v>
      </c>
      <c r="AA194" s="335"/>
      <c r="AB194" s="333"/>
      <c r="AC194" s="333">
        <v>36562</v>
      </c>
    </row>
    <row r="195" spans="1:29" ht="12.75">
      <c r="A195" s="334"/>
      <c r="B195" s="335"/>
      <c r="C195" s="335"/>
      <c r="D195" s="335"/>
      <c r="E195" s="333">
        <v>0</v>
      </c>
      <c r="F195" s="333"/>
      <c r="G195" s="333"/>
      <c r="H195" s="333"/>
      <c r="I195" s="333"/>
      <c r="J195" s="333"/>
      <c r="K195" s="333"/>
      <c r="L195" s="333"/>
      <c r="M195" s="333"/>
      <c r="N195" s="333"/>
      <c r="O195" s="333"/>
      <c r="P195" s="333"/>
      <c r="Q195" s="333"/>
      <c r="R195" s="335"/>
      <c r="S195" s="333"/>
      <c r="T195" s="333"/>
      <c r="U195" s="333"/>
      <c r="V195" s="333"/>
      <c r="W195" s="333"/>
      <c r="X195" s="333"/>
      <c r="Y195" s="333"/>
      <c r="Z195" s="335">
        <v>0</v>
      </c>
      <c r="AA195" s="333"/>
      <c r="AB195" s="333"/>
      <c r="AC195" s="333"/>
    </row>
    <row r="196" spans="1:30" ht="12.75">
      <c r="A196" s="347" t="s">
        <v>103</v>
      </c>
      <c r="B196" s="363"/>
      <c r="C196" s="363"/>
      <c r="D196" s="363"/>
      <c r="E196" s="333">
        <v>0</v>
      </c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335">
        <v>0</v>
      </c>
      <c r="AA196" s="335"/>
      <c r="AB196" s="335"/>
      <c r="AC196" s="335"/>
      <c r="AD196">
        <v>31</v>
      </c>
    </row>
    <row r="197" spans="1:29" ht="12.75">
      <c r="A197" s="333" t="s">
        <v>98</v>
      </c>
      <c r="B197" s="335">
        <v>157519</v>
      </c>
      <c r="C197" s="335">
        <v>48012</v>
      </c>
      <c r="D197" s="333">
        <v>205531</v>
      </c>
      <c r="E197" s="333">
        <v>32007</v>
      </c>
      <c r="F197" s="335">
        <v>2397</v>
      </c>
      <c r="G197" s="335">
        <v>0</v>
      </c>
      <c r="H197" s="335">
        <v>461</v>
      </c>
      <c r="I197" s="335">
        <v>849</v>
      </c>
      <c r="J197" s="335">
        <v>0</v>
      </c>
      <c r="K197" s="335">
        <v>0</v>
      </c>
      <c r="L197" s="335">
        <v>0</v>
      </c>
      <c r="M197" s="335">
        <v>0</v>
      </c>
      <c r="N197" s="335">
        <v>0</v>
      </c>
      <c r="O197" s="335">
        <v>100</v>
      </c>
      <c r="P197" s="335">
        <v>0</v>
      </c>
      <c r="Q197" s="337">
        <v>24812</v>
      </c>
      <c r="R197" s="335">
        <v>14441</v>
      </c>
      <c r="S197" s="335">
        <v>8742</v>
      </c>
      <c r="T197" s="335">
        <v>933</v>
      </c>
      <c r="U197" s="335">
        <v>696</v>
      </c>
      <c r="V197" s="335">
        <v>0</v>
      </c>
      <c r="W197" s="335">
        <v>1021</v>
      </c>
      <c r="X197" s="335">
        <v>2367</v>
      </c>
      <c r="Y197" s="335">
        <v>11196</v>
      </c>
      <c r="Z197" s="335">
        <v>248734</v>
      </c>
      <c r="AA197" s="335"/>
      <c r="AB197" s="335">
        <v>0</v>
      </c>
      <c r="AC197" s="335">
        <v>248734</v>
      </c>
    </row>
    <row r="198" spans="1:29" ht="12.75">
      <c r="A198" s="334" t="s">
        <v>104</v>
      </c>
      <c r="B198" s="335">
        <v>138465</v>
      </c>
      <c r="C198" s="335">
        <v>42204</v>
      </c>
      <c r="D198" s="333">
        <v>180669</v>
      </c>
      <c r="E198" s="333">
        <v>29230</v>
      </c>
      <c r="F198" s="335">
        <v>2397</v>
      </c>
      <c r="G198" s="335"/>
      <c r="H198" s="335">
        <v>310</v>
      </c>
      <c r="I198" s="335">
        <v>849</v>
      </c>
      <c r="J198" s="335"/>
      <c r="K198" s="335"/>
      <c r="L198" s="335"/>
      <c r="M198" s="335"/>
      <c r="N198" s="335"/>
      <c r="O198" s="335">
        <v>100</v>
      </c>
      <c r="P198" s="335">
        <v>0</v>
      </c>
      <c r="Q198" s="333">
        <v>22577</v>
      </c>
      <c r="R198" s="335">
        <v>13106</v>
      </c>
      <c r="S198" s="335">
        <v>7944</v>
      </c>
      <c r="T198" s="335">
        <v>900</v>
      </c>
      <c r="U198" s="335">
        <v>627</v>
      </c>
      <c r="V198" s="335"/>
      <c r="W198" s="335">
        <v>941</v>
      </c>
      <c r="X198" s="335">
        <v>2056</v>
      </c>
      <c r="Y198" s="335">
        <v>11196</v>
      </c>
      <c r="Z198" s="335">
        <v>221095</v>
      </c>
      <c r="AA198" s="335"/>
      <c r="AB198" s="335"/>
      <c r="AC198" s="333">
        <v>221095</v>
      </c>
    </row>
    <row r="199" spans="1:29" ht="12.75">
      <c r="A199" s="334" t="s">
        <v>105</v>
      </c>
      <c r="B199" s="335">
        <v>19054</v>
      </c>
      <c r="C199" s="335">
        <v>5808</v>
      </c>
      <c r="D199" s="333">
        <v>24862</v>
      </c>
      <c r="E199" s="333">
        <v>2777</v>
      </c>
      <c r="F199" s="335"/>
      <c r="G199" s="335"/>
      <c r="H199" s="335">
        <v>151</v>
      </c>
      <c r="I199" s="335"/>
      <c r="J199" s="335"/>
      <c r="K199" s="335"/>
      <c r="L199" s="335"/>
      <c r="M199" s="335"/>
      <c r="N199" s="335"/>
      <c r="O199" s="335"/>
      <c r="P199" s="335"/>
      <c r="Q199" s="333">
        <v>2235</v>
      </c>
      <c r="R199" s="335">
        <v>1335</v>
      </c>
      <c r="S199" s="335">
        <v>798</v>
      </c>
      <c r="T199" s="335">
        <v>33</v>
      </c>
      <c r="U199" s="335">
        <v>69</v>
      </c>
      <c r="V199" s="335"/>
      <c r="W199" s="335">
        <v>80</v>
      </c>
      <c r="X199" s="335">
        <v>311</v>
      </c>
      <c r="Y199" s="335"/>
      <c r="Z199" s="335">
        <v>27639</v>
      </c>
      <c r="AA199" s="335"/>
      <c r="AB199" s="335"/>
      <c r="AC199" s="333">
        <v>27639</v>
      </c>
    </row>
    <row r="200" spans="1:29" ht="12.75">
      <c r="A200" s="333" t="s">
        <v>106</v>
      </c>
      <c r="B200" s="335">
        <v>183560</v>
      </c>
      <c r="C200" s="335">
        <v>2662</v>
      </c>
      <c r="D200" s="333">
        <v>186222</v>
      </c>
      <c r="E200" s="333">
        <v>33545</v>
      </c>
      <c r="F200" s="335">
        <v>2397</v>
      </c>
      <c r="G200" s="335">
        <v>0</v>
      </c>
      <c r="H200" s="335">
        <v>395</v>
      </c>
      <c r="I200" s="335">
        <v>1153</v>
      </c>
      <c r="J200" s="335">
        <v>0</v>
      </c>
      <c r="K200" s="335">
        <v>0</v>
      </c>
      <c r="L200" s="335">
        <v>0</v>
      </c>
      <c r="M200" s="335"/>
      <c r="N200" s="335">
        <v>0</v>
      </c>
      <c r="O200" s="335">
        <v>640</v>
      </c>
      <c r="P200" s="335">
        <v>0</v>
      </c>
      <c r="Q200" s="335">
        <v>22840</v>
      </c>
      <c r="R200" s="335">
        <v>15146</v>
      </c>
      <c r="S200" s="335">
        <v>5925</v>
      </c>
      <c r="T200" s="335">
        <v>1345</v>
      </c>
      <c r="U200" s="335">
        <v>424</v>
      </c>
      <c r="V200" s="335">
        <v>0</v>
      </c>
      <c r="W200" s="335">
        <v>3300</v>
      </c>
      <c r="X200" s="335">
        <v>2820</v>
      </c>
      <c r="Y200" s="335">
        <v>8733</v>
      </c>
      <c r="Z200" s="335">
        <v>228500</v>
      </c>
      <c r="AA200" s="335">
        <v>0</v>
      </c>
      <c r="AB200" s="335">
        <v>820</v>
      </c>
      <c r="AC200" s="335">
        <v>229320</v>
      </c>
    </row>
    <row r="201" spans="1:29" ht="12.75">
      <c r="A201" s="334" t="s">
        <v>99</v>
      </c>
      <c r="B201" s="340">
        <v>159992</v>
      </c>
      <c r="C201" s="333">
        <v>2320</v>
      </c>
      <c r="D201" s="333">
        <v>162312</v>
      </c>
      <c r="E201" s="333">
        <v>31245</v>
      </c>
      <c r="F201" s="333">
        <v>2397</v>
      </c>
      <c r="G201" s="333"/>
      <c r="H201" s="333">
        <v>395</v>
      </c>
      <c r="I201" s="333">
        <v>1153</v>
      </c>
      <c r="J201" s="333"/>
      <c r="K201" s="333"/>
      <c r="L201" s="333"/>
      <c r="M201" s="333"/>
      <c r="N201" s="333"/>
      <c r="O201" s="333">
        <v>640</v>
      </c>
      <c r="P201" s="333"/>
      <c r="Q201" s="333">
        <v>20840</v>
      </c>
      <c r="R201" s="345">
        <v>13146</v>
      </c>
      <c r="S201" s="333">
        <v>5925</v>
      </c>
      <c r="T201" s="333">
        <v>1345</v>
      </c>
      <c r="U201" s="333">
        <v>424</v>
      </c>
      <c r="V201" s="333"/>
      <c r="W201" s="333">
        <v>3100</v>
      </c>
      <c r="X201" s="333">
        <v>2720</v>
      </c>
      <c r="Y201" s="333">
        <v>8733</v>
      </c>
      <c r="Z201" s="335">
        <v>202290</v>
      </c>
      <c r="AA201" s="333"/>
      <c r="AB201" s="333">
        <v>820</v>
      </c>
      <c r="AC201" s="333">
        <v>203110</v>
      </c>
    </row>
    <row r="202" spans="1:29" ht="12.75">
      <c r="A202" s="334" t="s">
        <v>100</v>
      </c>
      <c r="B202" s="335">
        <v>23568</v>
      </c>
      <c r="C202" s="333">
        <v>342</v>
      </c>
      <c r="D202" s="333">
        <v>23910</v>
      </c>
      <c r="E202" s="333">
        <v>2300</v>
      </c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>
        <v>2000</v>
      </c>
      <c r="R202" s="345">
        <v>2000</v>
      </c>
      <c r="S202" s="333"/>
      <c r="T202" s="333"/>
      <c r="U202" s="333"/>
      <c r="V202" s="333"/>
      <c r="W202" s="333">
        <v>200</v>
      </c>
      <c r="X202" s="333">
        <v>100</v>
      </c>
      <c r="Y202" s="333"/>
      <c r="Z202" s="335">
        <v>26210</v>
      </c>
      <c r="AA202" s="333"/>
      <c r="AB202" s="333"/>
      <c r="AC202" s="333">
        <v>26210</v>
      </c>
    </row>
    <row r="203" spans="1:29" ht="12.75">
      <c r="A203" s="333"/>
      <c r="B203" s="335">
        <v>0</v>
      </c>
      <c r="C203" s="335">
        <v>0</v>
      </c>
      <c r="D203" s="335"/>
      <c r="E203" s="333">
        <v>0</v>
      </c>
      <c r="F203" s="335">
        <v>0</v>
      </c>
      <c r="G203" s="335">
        <v>0</v>
      </c>
      <c r="H203" s="335">
        <v>0</v>
      </c>
      <c r="I203" s="335">
        <v>0</v>
      </c>
      <c r="J203" s="335">
        <v>0</v>
      </c>
      <c r="K203" s="335">
        <v>0</v>
      </c>
      <c r="L203" s="335">
        <v>0</v>
      </c>
      <c r="M203" s="335">
        <v>0</v>
      </c>
      <c r="N203" s="335">
        <v>0</v>
      </c>
      <c r="O203" s="335">
        <v>0</v>
      </c>
      <c r="P203" s="335">
        <v>0</v>
      </c>
      <c r="Q203" s="335">
        <v>0</v>
      </c>
      <c r="R203" s="335">
        <v>0</v>
      </c>
      <c r="S203" s="335">
        <v>0</v>
      </c>
      <c r="T203" s="335">
        <v>0</v>
      </c>
      <c r="U203" s="335"/>
      <c r="V203" s="335">
        <v>0</v>
      </c>
      <c r="W203" s="335">
        <v>0</v>
      </c>
      <c r="X203" s="335">
        <v>0</v>
      </c>
      <c r="Y203" s="335">
        <v>0</v>
      </c>
      <c r="Z203" s="335">
        <v>0</v>
      </c>
      <c r="AA203" s="335">
        <v>0</v>
      </c>
      <c r="AB203" s="335">
        <v>0</v>
      </c>
      <c r="AC203" s="335">
        <v>0</v>
      </c>
    </row>
    <row r="204" spans="1:29" ht="12.75">
      <c r="A204" s="334" t="s">
        <v>99</v>
      </c>
      <c r="B204" s="335">
        <v>0</v>
      </c>
      <c r="C204" s="335">
        <v>0</v>
      </c>
      <c r="D204" s="335"/>
      <c r="E204" s="333">
        <v>0</v>
      </c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  <c r="Q204" s="333">
        <v>0</v>
      </c>
      <c r="R204" s="333"/>
      <c r="T204" s="333"/>
      <c r="U204" s="333"/>
      <c r="V204" s="333"/>
      <c r="W204" s="333"/>
      <c r="X204" s="333"/>
      <c r="Y204" s="333"/>
      <c r="Z204" s="335">
        <v>0</v>
      </c>
      <c r="AA204" s="335"/>
      <c r="AB204" s="333"/>
      <c r="AC204" s="333">
        <v>0</v>
      </c>
    </row>
    <row r="205" spans="1:29" ht="12.75">
      <c r="A205" s="334" t="s">
        <v>100</v>
      </c>
      <c r="B205" s="335"/>
      <c r="C205" s="335"/>
      <c r="D205" s="335"/>
      <c r="E205" s="333">
        <v>0</v>
      </c>
      <c r="F205" s="333"/>
      <c r="G205" s="333"/>
      <c r="H205" s="333"/>
      <c r="I205" s="333"/>
      <c r="J205" s="333"/>
      <c r="K205" s="333"/>
      <c r="L205" s="333"/>
      <c r="M205" s="333"/>
      <c r="N205" s="333"/>
      <c r="O205" s="333"/>
      <c r="P205" s="333"/>
      <c r="Q205" s="333">
        <v>0</v>
      </c>
      <c r="R205" s="333"/>
      <c r="S205" s="333"/>
      <c r="T205" s="333"/>
      <c r="U205" s="333"/>
      <c r="V205" s="333"/>
      <c r="W205" s="333"/>
      <c r="X205" s="333"/>
      <c r="Y205" s="333"/>
      <c r="Z205" s="335">
        <v>0</v>
      </c>
      <c r="AA205" s="335"/>
      <c r="AB205" s="333"/>
      <c r="AC205" s="333">
        <v>0</v>
      </c>
    </row>
    <row r="206" spans="1:29" ht="12.75">
      <c r="A206" s="333" t="s">
        <v>102</v>
      </c>
      <c r="B206" s="333">
        <v>182108</v>
      </c>
      <c r="C206" s="333">
        <v>2640</v>
      </c>
      <c r="D206" s="333">
        <v>184748</v>
      </c>
      <c r="E206" s="333">
        <v>30035</v>
      </c>
      <c r="F206" s="335">
        <v>2397</v>
      </c>
      <c r="G206" s="333"/>
      <c r="H206" s="335">
        <v>461</v>
      </c>
      <c r="I206" s="335">
        <v>849</v>
      </c>
      <c r="J206" s="335">
        <v>0</v>
      </c>
      <c r="K206" s="335">
        <v>0</v>
      </c>
      <c r="L206" s="335">
        <v>0</v>
      </c>
      <c r="M206" s="335">
        <v>0</v>
      </c>
      <c r="N206" s="335">
        <v>0</v>
      </c>
      <c r="O206" s="335">
        <v>100</v>
      </c>
      <c r="P206" s="335">
        <v>0</v>
      </c>
      <c r="Q206" s="335">
        <v>22840</v>
      </c>
      <c r="R206" s="348">
        <v>15146</v>
      </c>
      <c r="S206" s="335">
        <v>5925</v>
      </c>
      <c r="T206" s="335">
        <v>1345</v>
      </c>
      <c r="U206" s="335">
        <v>424</v>
      </c>
      <c r="V206" s="335">
        <v>0</v>
      </c>
      <c r="W206" s="335">
        <v>1021</v>
      </c>
      <c r="X206" s="335">
        <v>2367</v>
      </c>
      <c r="Y206" s="335">
        <v>8733</v>
      </c>
      <c r="Z206" s="335">
        <v>223516</v>
      </c>
      <c r="AA206" s="335"/>
      <c r="AB206" s="333"/>
      <c r="AC206" s="333">
        <v>223516</v>
      </c>
    </row>
    <row r="207" spans="1:29" ht="12.75">
      <c r="A207" s="334" t="s">
        <v>99</v>
      </c>
      <c r="B207" s="333">
        <v>158103</v>
      </c>
      <c r="C207" s="333">
        <v>2292</v>
      </c>
      <c r="D207" s="333">
        <v>160395</v>
      </c>
      <c r="E207" s="333">
        <v>27493</v>
      </c>
      <c r="F207" s="333">
        <v>2397</v>
      </c>
      <c r="G207" s="333">
        <v>0</v>
      </c>
      <c r="H207" s="333">
        <v>310</v>
      </c>
      <c r="I207" s="333">
        <v>849</v>
      </c>
      <c r="J207" s="333">
        <v>0</v>
      </c>
      <c r="K207" s="333">
        <v>0</v>
      </c>
      <c r="L207" s="333">
        <v>0</v>
      </c>
      <c r="M207" s="333"/>
      <c r="N207" s="333">
        <v>0</v>
      </c>
      <c r="O207" s="333">
        <v>100</v>
      </c>
      <c r="P207" s="333">
        <v>0</v>
      </c>
      <c r="Q207" s="333">
        <v>20840</v>
      </c>
      <c r="R207" s="345">
        <v>13146</v>
      </c>
      <c r="S207" s="333">
        <v>5925</v>
      </c>
      <c r="T207" s="333">
        <v>1345</v>
      </c>
      <c r="U207" s="333">
        <v>424</v>
      </c>
      <c r="V207" s="333">
        <v>0</v>
      </c>
      <c r="W207" s="333">
        <v>941</v>
      </c>
      <c r="X207" s="333">
        <v>2056</v>
      </c>
      <c r="Y207" s="333">
        <v>8733</v>
      </c>
      <c r="Z207" s="335">
        <v>196621</v>
      </c>
      <c r="AA207" s="335"/>
      <c r="AB207" s="333"/>
      <c r="AC207" s="333">
        <v>196621</v>
      </c>
    </row>
    <row r="208" spans="1:29" ht="12.75">
      <c r="A208" s="334" t="s">
        <v>100</v>
      </c>
      <c r="B208" s="333">
        <v>24005</v>
      </c>
      <c r="C208" s="333">
        <v>348</v>
      </c>
      <c r="D208" s="333">
        <v>24353</v>
      </c>
      <c r="E208" s="333">
        <v>2542</v>
      </c>
      <c r="F208" s="333">
        <v>0</v>
      </c>
      <c r="G208" s="333">
        <v>0</v>
      </c>
      <c r="H208" s="333">
        <v>151</v>
      </c>
      <c r="I208" s="333">
        <v>0</v>
      </c>
      <c r="J208" s="333">
        <v>0</v>
      </c>
      <c r="K208" s="333">
        <v>0</v>
      </c>
      <c r="L208" s="333">
        <v>0</v>
      </c>
      <c r="M208" s="333"/>
      <c r="N208" s="333">
        <v>0</v>
      </c>
      <c r="O208" s="333">
        <v>0</v>
      </c>
      <c r="P208" s="333">
        <v>0</v>
      </c>
      <c r="Q208" s="333">
        <v>2000</v>
      </c>
      <c r="R208" s="333">
        <v>2000</v>
      </c>
      <c r="S208" s="333"/>
      <c r="T208" s="333"/>
      <c r="U208" s="333"/>
      <c r="V208" s="333">
        <v>0</v>
      </c>
      <c r="W208" s="333">
        <v>80</v>
      </c>
      <c r="X208" s="333">
        <v>311</v>
      </c>
      <c r="Y208" s="333">
        <v>0</v>
      </c>
      <c r="Z208" s="335">
        <v>26895</v>
      </c>
      <c r="AA208" s="335"/>
      <c r="AB208" s="333"/>
      <c r="AC208" s="333">
        <v>26895</v>
      </c>
    </row>
    <row r="209" spans="1:29" ht="12.75">
      <c r="A209" s="334"/>
      <c r="B209" s="335"/>
      <c r="C209" s="335"/>
      <c r="D209" s="335"/>
      <c r="E209" s="333">
        <v>0</v>
      </c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5"/>
      <c r="S209" s="333"/>
      <c r="T209" s="333"/>
      <c r="U209" s="333"/>
      <c r="V209" s="333"/>
      <c r="W209" s="333"/>
      <c r="X209" s="333"/>
      <c r="Y209" s="333"/>
      <c r="Z209" s="335">
        <v>0</v>
      </c>
      <c r="AA209" s="333"/>
      <c r="AB209" s="333"/>
      <c r="AC209" s="333"/>
    </row>
    <row r="210" spans="1:30" ht="12.75">
      <c r="A210" s="343" t="s">
        <v>107</v>
      </c>
      <c r="B210" s="335"/>
      <c r="C210" s="335"/>
      <c r="D210" s="335"/>
      <c r="E210" s="333">
        <v>0</v>
      </c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7"/>
      <c r="S210" s="335"/>
      <c r="T210" s="335"/>
      <c r="U210" s="335"/>
      <c r="V210" s="335"/>
      <c r="W210" s="335"/>
      <c r="X210" s="335"/>
      <c r="Y210" s="335"/>
      <c r="Z210" s="335">
        <v>0</v>
      </c>
      <c r="AA210" s="335"/>
      <c r="AB210" s="335"/>
      <c r="AC210" s="335"/>
      <c r="AD210">
        <v>32</v>
      </c>
    </row>
    <row r="211" spans="1:29" ht="12.75">
      <c r="A211" s="334" t="s">
        <v>74</v>
      </c>
      <c r="B211" s="335">
        <v>110152</v>
      </c>
      <c r="C211" s="333">
        <v>34346</v>
      </c>
      <c r="D211" s="333">
        <v>144498</v>
      </c>
      <c r="E211" s="333">
        <v>5867</v>
      </c>
      <c r="F211" s="333"/>
      <c r="G211" s="333"/>
      <c r="H211" s="333">
        <v>700</v>
      </c>
      <c r="I211" s="333"/>
      <c r="J211" s="333"/>
      <c r="K211" s="333"/>
      <c r="L211" s="333"/>
      <c r="M211" s="333"/>
      <c r="N211" s="333"/>
      <c r="O211" s="333"/>
      <c r="P211" s="333"/>
      <c r="Q211" s="333">
        <v>4470</v>
      </c>
      <c r="R211" s="333">
        <v>3200</v>
      </c>
      <c r="S211" s="337">
        <v>1270</v>
      </c>
      <c r="T211" s="337"/>
      <c r="U211" s="337"/>
      <c r="V211" s="333"/>
      <c r="W211" s="333"/>
      <c r="X211" s="333">
        <v>697</v>
      </c>
      <c r="Y211" s="333"/>
      <c r="Z211" s="335">
        <v>150365</v>
      </c>
      <c r="AA211" s="333"/>
      <c r="AB211" s="333"/>
      <c r="AC211" s="333">
        <v>150365</v>
      </c>
    </row>
    <row r="212" spans="1:30" ht="12.75">
      <c r="A212" s="334" t="s">
        <v>108</v>
      </c>
      <c r="B212" s="370">
        <v>149969</v>
      </c>
      <c r="C212" s="333">
        <v>2654</v>
      </c>
      <c r="D212" s="333">
        <v>152623</v>
      </c>
      <c r="E212" s="333">
        <v>5700</v>
      </c>
      <c r="F212" s="333"/>
      <c r="G212" s="333"/>
      <c r="H212" s="333">
        <v>700</v>
      </c>
      <c r="I212" s="333"/>
      <c r="J212" s="333"/>
      <c r="K212" s="333"/>
      <c r="L212" s="333"/>
      <c r="M212" s="333"/>
      <c r="N212" s="333"/>
      <c r="O212" s="333"/>
      <c r="P212" s="333"/>
      <c r="Q212" s="333">
        <v>4240</v>
      </c>
      <c r="R212" s="333">
        <v>2690</v>
      </c>
      <c r="S212" s="333">
        <v>1550</v>
      </c>
      <c r="T212" s="333"/>
      <c r="U212" s="333"/>
      <c r="V212" s="333"/>
      <c r="W212" s="333"/>
      <c r="X212" s="333">
        <v>760</v>
      </c>
      <c r="Y212" s="333"/>
      <c r="Z212" s="335">
        <v>158323</v>
      </c>
      <c r="AA212" s="333"/>
      <c r="AB212" s="333"/>
      <c r="AC212" s="333">
        <v>158323</v>
      </c>
      <c r="AD212" s="353"/>
    </row>
    <row r="213" spans="1:29" ht="12.75">
      <c r="A213" s="362"/>
      <c r="B213" s="335"/>
      <c r="C213" s="333"/>
      <c r="D213" s="333"/>
      <c r="E213" s="333">
        <v>0</v>
      </c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>
        <v>0</v>
      </c>
      <c r="R213" s="333">
        <v>0</v>
      </c>
      <c r="S213" s="333"/>
      <c r="T213" s="333"/>
      <c r="U213" s="333"/>
      <c r="V213" s="333">
        <v>0</v>
      </c>
      <c r="W213" s="333"/>
      <c r="X213" s="333"/>
      <c r="Y213" s="333"/>
      <c r="Z213" s="335">
        <v>0</v>
      </c>
      <c r="AA213" s="333"/>
      <c r="AB213" s="333"/>
      <c r="AC213" s="333">
        <v>0</v>
      </c>
    </row>
    <row r="214" spans="1:29" ht="12.75">
      <c r="A214" s="334" t="s">
        <v>76</v>
      </c>
      <c r="B214" s="333">
        <v>148572</v>
      </c>
      <c r="C214" s="333">
        <v>2630</v>
      </c>
      <c r="D214" s="333">
        <v>151202</v>
      </c>
      <c r="E214" s="333">
        <v>5637</v>
      </c>
      <c r="F214" s="333">
        <v>0</v>
      </c>
      <c r="G214" s="333">
        <v>0</v>
      </c>
      <c r="H214" s="333">
        <v>700</v>
      </c>
      <c r="I214" s="333">
        <v>0</v>
      </c>
      <c r="J214" s="333">
        <v>0</v>
      </c>
      <c r="K214" s="333">
        <v>0</v>
      </c>
      <c r="L214" s="333">
        <v>0</v>
      </c>
      <c r="M214" s="333">
        <v>0</v>
      </c>
      <c r="N214" s="333">
        <v>0</v>
      </c>
      <c r="O214" s="333">
        <v>0</v>
      </c>
      <c r="P214" s="333">
        <v>0</v>
      </c>
      <c r="Q214" s="333">
        <v>4240</v>
      </c>
      <c r="R214" s="333">
        <v>2690</v>
      </c>
      <c r="S214" s="333">
        <v>1550</v>
      </c>
      <c r="T214" s="333">
        <v>0</v>
      </c>
      <c r="U214" s="333">
        <v>0</v>
      </c>
      <c r="V214" s="333">
        <v>0</v>
      </c>
      <c r="W214" s="333">
        <v>0</v>
      </c>
      <c r="X214" s="333">
        <v>697</v>
      </c>
      <c r="Y214" s="333">
        <v>0</v>
      </c>
      <c r="Z214" s="335">
        <v>156839</v>
      </c>
      <c r="AA214" s="335"/>
      <c r="AB214" s="333"/>
      <c r="AC214" s="333">
        <v>156839</v>
      </c>
    </row>
    <row r="215" spans="2:29" ht="12.75">
      <c r="B215" s="335"/>
      <c r="C215" s="335"/>
      <c r="D215" s="335"/>
      <c r="E215" s="333">
        <v>0</v>
      </c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46"/>
      <c r="S215" s="333"/>
      <c r="T215" s="333"/>
      <c r="U215" s="333"/>
      <c r="V215" s="333"/>
      <c r="W215" s="333"/>
      <c r="X215" s="333"/>
      <c r="Y215" s="333"/>
      <c r="Z215" s="335">
        <v>0</v>
      </c>
      <c r="AA215" s="333"/>
      <c r="AB215" s="333"/>
      <c r="AC215" s="333"/>
    </row>
    <row r="216" spans="1:31" ht="24">
      <c r="A216" s="344" t="s">
        <v>109</v>
      </c>
      <c r="B216" s="346"/>
      <c r="C216" s="346"/>
      <c r="D216" s="346"/>
      <c r="E216" s="333">
        <v>0</v>
      </c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37"/>
      <c r="S216" s="346"/>
      <c r="T216" s="346"/>
      <c r="U216" s="346"/>
      <c r="V216" s="346"/>
      <c r="W216" s="346"/>
      <c r="X216" s="346"/>
      <c r="Y216" s="346"/>
      <c r="Z216" s="335">
        <v>0</v>
      </c>
      <c r="AA216" s="346"/>
      <c r="AB216" s="346"/>
      <c r="AC216" s="346"/>
      <c r="AD216" s="327">
        <v>33</v>
      </c>
      <c r="AE216" s="327"/>
    </row>
    <row r="217" spans="1:29" ht="12.75">
      <c r="A217" s="334" t="s">
        <v>74</v>
      </c>
      <c r="B217" s="335">
        <v>13097</v>
      </c>
      <c r="C217" s="333">
        <v>4084</v>
      </c>
      <c r="D217" s="333">
        <v>17181</v>
      </c>
      <c r="E217" s="333">
        <v>3298</v>
      </c>
      <c r="F217" s="333"/>
      <c r="G217" s="333"/>
      <c r="H217" s="333">
        <v>40</v>
      </c>
      <c r="I217" s="333"/>
      <c r="J217" s="333"/>
      <c r="K217" s="333"/>
      <c r="L217" s="333"/>
      <c r="M217" s="333"/>
      <c r="N217" s="333"/>
      <c r="O217" s="333"/>
      <c r="P217" s="333"/>
      <c r="Q217" s="333">
        <v>3258</v>
      </c>
      <c r="R217" s="333">
        <v>1800</v>
      </c>
      <c r="S217" s="337">
        <v>1308</v>
      </c>
      <c r="T217" s="337">
        <v>130</v>
      </c>
      <c r="U217" s="337">
        <v>20</v>
      </c>
      <c r="V217" s="333"/>
      <c r="W217" s="333"/>
      <c r="X217" s="333"/>
      <c r="Y217" s="333"/>
      <c r="Z217" s="335">
        <v>20479</v>
      </c>
      <c r="AA217" s="333"/>
      <c r="AB217" s="333"/>
      <c r="AC217" s="333">
        <v>20479</v>
      </c>
    </row>
    <row r="218" spans="1:31" ht="12.75">
      <c r="A218" s="334" t="s">
        <v>108</v>
      </c>
      <c r="B218" s="348">
        <v>17547</v>
      </c>
      <c r="C218" s="333">
        <v>311</v>
      </c>
      <c r="D218" s="333">
        <v>17858</v>
      </c>
      <c r="E218" s="333">
        <v>4430</v>
      </c>
      <c r="F218" s="333"/>
      <c r="G218" s="333"/>
      <c r="H218" s="333">
        <v>40</v>
      </c>
      <c r="I218" s="333"/>
      <c r="J218" s="333"/>
      <c r="K218" s="333"/>
      <c r="L218" s="333"/>
      <c r="M218" s="337"/>
      <c r="N218" s="333"/>
      <c r="O218" s="333"/>
      <c r="P218" s="333"/>
      <c r="Q218" s="333">
        <v>4390</v>
      </c>
      <c r="R218" s="333">
        <v>2690</v>
      </c>
      <c r="S218" s="333">
        <v>1320</v>
      </c>
      <c r="T218" s="333">
        <v>130</v>
      </c>
      <c r="U218" s="333">
        <v>250</v>
      </c>
      <c r="V218" s="333"/>
      <c r="W218" s="333"/>
      <c r="X218" s="333"/>
      <c r="Y218" s="333"/>
      <c r="Z218" s="335">
        <v>22288</v>
      </c>
      <c r="AA218" s="333"/>
      <c r="AB218" s="333"/>
      <c r="AC218" s="333">
        <v>22288</v>
      </c>
      <c r="AD218" s="329"/>
      <c r="AE218" s="329"/>
    </row>
    <row r="219" spans="1:29" ht="12.75">
      <c r="A219" s="334"/>
      <c r="B219" s="335">
        <v>0</v>
      </c>
      <c r="C219" s="333"/>
      <c r="D219" s="333"/>
      <c r="E219" s="333">
        <v>0</v>
      </c>
      <c r="F219" s="333">
        <v>0</v>
      </c>
      <c r="G219" s="333">
        <v>0</v>
      </c>
      <c r="H219" s="333">
        <v>0</v>
      </c>
      <c r="I219" s="333">
        <v>0</v>
      </c>
      <c r="J219" s="333">
        <v>0</v>
      </c>
      <c r="K219" s="333">
        <v>0</v>
      </c>
      <c r="L219" s="333">
        <v>0</v>
      </c>
      <c r="M219" s="333">
        <v>0</v>
      </c>
      <c r="N219" s="333">
        <v>0</v>
      </c>
      <c r="O219" s="333">
        <v>0</v>
      </c>
      <c r="P219" s="333">
        <v>0</v>
      </c>
      <c r="Q219" s="333">
        <v>0</v>
      </c>
      <c r="R219" s="333">
        <v>0</v>
      </c>
      <c r="S219" s="333"/>
      <c r="T219" s="333"/>
      <c r="U219" s="333"/>
      <c r="V219" s="333">
        <v>0</v>
      </c>
      <c r="W219" s="333"/>
      <c r="X219" s="333"/>
      <c r="Y219" s="333"/>
      <c r="Z219" s="335">
        <v>0</v>
      </c>
      <c r="AA219" s="333"/>
      <c r="AB219" s="333"/>
      <c r="AC219" s="333">
        <v>0</v>
      </c>
    </row>
    <row r="220" spans="1:31" ht="12.75">
      <c r="A220" s="334" t="s">
        <v>76</v>
      </c>
      <c r="B220" s="333">
        <v>17248</v>
      </c>
      <c r="C220" s="333">
        <v>305</v>
      </c>
      <c r="D220" s="333">
        <v>17553</v>
      </c>
      <c r="E220" s="333">
        <v>4430</v>
      </c>
      <c r="F220" s="333">
        <v>0</v>
      </c>
      <c r="G220" s="333">
        <v>0</v>
      </c>
      <c r="H220" s="333">
        <v>40</v>
      </c>
      <c r="I220" s="333">
        <v>0</v>
      </c>
      <c r="J220" s="333">
        <v>0</v>
      </c>
      <c r="K220" s="333">
        <v>0</v>
      </c>
      <c r="L220" s="333">
        <v>0</v>
      </c>
      <c r="M220" s="333">
        <v>0</v>
      </c>
      <c r="N220" s="333">
        <v>0</v>
      </c>
      <c r="O220" s="333">
        <v>0</v>
      </c>
      <c r="P220" s="333">
        <v>0</v>
      </c>
      <c r="Q220" s="333">
        <v>4390</v>
      </c>
      <c r="R220" s="333">
        <v>2690</v>
      </c>
      <c r="S220" s="333">
        <v>1320</v>
      </c>
      <c r="T220" s="333">
        <v>130</v>
      </c>
      <c r="U220" s="333">
        <v>250</v>
      </c>
      <c r="V220" s="333">
        <v>0</v>
      </c>
      <c r="W220" s="333">
        <v>0</v>
      </c>
      <c r="X220" s="333">
        <v>0</v>
      </c>
      <c r="Y220" s="333">
        <v>0</v>
      </c>
      <c r="Z220" s="335">
        <v>21983</v>
      </c>
      <c r="AA220" s="335"/>
      <c r="AB220" s="333"/>
      <c r="AC220" s="333">
        <v>21983</v>
      </c>
      <c r="AE220" s="9"/>
    </row>
    <row r="221" spans="1:29" ht="12.75">
      <c r="A221" s="334"/>
      <c r="B221" s="335"/>
      <c r="C221" s="335"/>
      <c r="D221" s="335"/>
      <c r="E221" s="333">
        <v>0</v>
      </c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333"/>
      <c r="Q221" s="333"/>
      <c r="R221" s="333"/>
      <c r="S221" s="333"/>
      <c r="T221" s="333"/>
      <c r="U221" s="333"/>
      <c r="V221" s="333"/>
      <c r="W221" s="333"/>
      <c r="X221" s="333"/>
      <c r="Y221" s="333"/>
      <c r="Z221" s="335">
        <v>0</v>
      </c>
      <c r="AA221" s="333"/>
      <c r="AB221" s="333"/>
      <c r="AC221" s="333"/>
    </row>
    <row r="222" spans="1:29" ht="12.75">
      <c r="A222" s="341" t="s">
        <v>14</v>
      </c>
      <c r="B222" s="333"/>
      <c r="C222" s="333"/>
      <c r="D222" s="333"/>
      <c r="E222" s="333">
        <v>0</v>
      </c>
      <c r="F222" s="333"/>
      <c r="G222" s="333"/>
      <c r="H222" s="333"/>
      <c r="I222" s="333"/>
      <c r="J222" s="333"/>
      <c r="K222" s="333"/>
      <c r="L222" s="333"/>
      <c r="M222" s="333"/>
      <c r="N222" s="333"/>
      <c r="O222" s="333"/>
      <c r="P222" s="333"/>
      <c r="Q222" s="333"/>
      <c r="R222" s="333"/>
      <c r="S222" s="333"/>
      <c r="T222" s="333"/>
      <c r="U222" s="333"/>
      <c r="V222" s="333"/>
      <c r="W222" s="333"/>
      <c r="X222" s="333"/>
      <c r="Y222" s="333"/>
      <c r="Z222" s="335">
        <v>0</v>
      </c>
      <c r="AA222" s="333"/>
      <c r="AB222" s="333"/>
      <c r="AC222" s="333"/>
    </row>
    <row r="223" spans="1:29" ht="12.75">
      <c r="A223" s="334" t="s">
        <v>74</v>
      </c>
      <c r="B223" s="333">
        <v>3611159</v>
      </c>
      <c r="C223" s="333">
        <v>1101512</v>
      </c>
      <c r="D223" s="333">
        <v>4712671</v>
      </c>
      <c r="E223" s="333">
        <v>988330</v>
      </c>
      <c r="F223" s="333">
        <v>70701</v>
      </c>
      <c r="G223" s="333">
        <v>0</v>
      </c>
      <c r="H223" s="333">
        <v>13939</v>
      </c>
      <c r="I223" s="333">
        <v>7788</v>
      </c>
      <c r="J223" s="333">
        <v>0</v>
      </c>
      <c r="K223" s="333">
        <v>0</v>
      </c>
      <c r="L223" s="333">
        <v>390</v>
      </c>
      <c r="M223" s="333">
        <v>0</v>
      </c>
      <c r="N223" s="333">
        <v>0</v>
      </c>
      <c r="O223" s="333">
        <v>1640</v>
      </c>
      <c r="P223" s="333">
        <v>0</v>
      </c>
      <c r="Q223" s="333">
        <v>758224</v>
      </c>
      <c r="R223" s="333">
        <v>560839</v>
      </c>
      <c r="S223" s="333">
        <v>136948</v>
      </c>
      <c r="T223" s="333">
        <v>39658</v>
      </c>
      <c r="U223" s="333">
        <v>20779</v>
      </c>
      <c r="V223" s="333">
        <v>8084</v>
      </c>
      <c r="W223" s="333">
        <v>70850</v>
      </c>
      <c r="X223" s="333">
        <v>56714</v>
      </c>
      <c r="Y223" s="333">
        <v>133570</v>
      </c>
      <c r="Z223" s="333">
        <v>5834571</v>
      </c>
      <c r="AA223" s="333">
        <v>0</v>
      </c>
      <c r="AB223" s="333">
        <v>9819</v>
      </c>
      <c r="AC223" s="333">
        <v>5844390</v>
      </c>
    </row>
    <row r="224" spans="1:29" ht="12.75">
      <c r="A224" s="357" t="s">
        <v>75</v>
      </c>
      <c r="B224" s="356">
        <v>5120154</v>
      </c>
      <c r="C224" s="356">
        <v>74778</v>
      </c>
      <c r="D224" s="356">
        <v>5194932</v>
      </c>
      <c r="E224" s="356">
        <v>1333197</v>
      </c>
      <c r="F224" s="356">
        <v>70380</v>
      </c>
      <c r="G224" s="356">
        <v>0</v>
      </c>
      <c r="H224" s="356">
        <v>13398</v>
      </c>
      <c r="I224" s="356">
        <v>13548</v>
      </c>
      <c r="J224" s="356">
        <v>3410</v>
      </c>
      <c r="K224" s="356">
        <v>200</v>
      </c>
      <c r="L224" s="356">
        <v>790</v>
      </c>
      <c r="M224" s="356">
        <v>0</v>
      </c>
      <c r="N224" s="356">
        <v>216300</v>
      </c>
      <c r="O224" s="356">
        <v>5140</v>
      </c>
      <c r="P224" s="356">
        <v>0</v>
      </c>
      <c r="Q224" s="356">
        <v>812634</v>
      </c>
      <c r="R224" s="356">
        <v>607387</v>
      </c>
      <c r="S224" s="356">
        <v>144186</v>
      </c>
      <c r="T224" s="356">
        <v>42330</v>
      </c>
      <c r="U224" s="356">
        <v>18731</v>
      </c>
      <c r="V224" s="356">
        <v>15684</v>
      </c>
      <c r="W224" s="356">
        <v>123066</v>
      </c>
      <c r="X224" s="356">
        <v>58647</v>
      </c>
      <c r="Y224" s="356">
        <v>146743</v>
      </c>
      <c r="Z224" s="356">
        <v>6674872</v>
      </c>
      <c r="AA224" s="356">
        <v>0</v>
      </c>
      <c r="AB224" s="356">
        <v>117160</v>
      </c>
      <c r="AC224" s="356">
        <v>6792032</v>
      </c>
    </row>
    <row r="225" spans="1:29" ht="12.75">
      <c r="A225" s="334"/>
      <c r="B225" s="333">
        <v>0</v>
      </c>
      <c r="C225" s="333">
        <v>0</v>
      </c>
      <c r="D225" s="333">
        <v>0</v>
      </c>
      <c r="E225" s="333">
        <v>0</v>
      </c>
      <c r="F225" s="333">
        <v>0</v>
      </c>
      <c r="G225" s="333">
        <v>0</v>
      </c>
      <c r="H225" s="333">
        <v>0</v>
      </c>
      <c r="I225" s="333">
        <v>0</v>
      </c>
      <c r="J225" s="333">
        <v>0</v>
      </c>
      <c r="K225" s="333">
        <v>0</v>
      </c>
      <c r="L225" s="333">
        <v>0</v>
      </c>
      <c r="M225" s="333">
        <v>0</v>
      </c>
      <c r="N225" s="333">
        <v>0</v>
      </c>
      <c r="O225" s="333">
        <v>0</v>
      </c>
      <c r="P225" s="333">
        <v>0</v>
      </c>
      <c r="Q225" s="333">
        <v>0</v>
      </c>
      <c r="R225" s="333">
        <v>0</v>
      </c>
      <c r="S225" s="333">
        <v>0</v>
      </c>
      <c r="T225" s="333">
        <v>0</v>
      </c>
      <c r="U225" s="333">
        <v>0</v>
      </c>
      <c r="V225" s="333">
        <v>0</v>
      </c>
      <c r="W225" s="333">
        <v>0</v>
      </c>
      <c r="X225" s="333">
        <v>0</v>
      </c>
      <c r="Y225" s="333">
        <v>0</v>
      </c>
      <c r="Z225" s="333">
        <v>0</v>
      </c>
      <c r="AA225" s="333">
        <v>0</v>
      </c>
      <c r="AB225" s="333">
        <v>0</v>
      </c>
      <c r="AC225" s="333">
        <v>0</v>
      </c>
    </row>
    <row r="226" spans="1:30" ht="12.75">
      <c r="A226" s="357" t="s">
        <v>76</v>
      </c>
      <c r="B226" s="358">
        <v>5041587</v>
      </c>
      <c r="C226" s="358">
        <v>73634</v>
      </c>
      <c r="D226" s="358">
        <v>5115221</v>
      </c>
      <c r="E226" s="358">
        <v>997399</v>
      </c>
      <c r="F226" s="358">
        <v>70380</v>
      </c>
      <c r="G226" s="358">
        <v>0</v>
      </c>
      <c r="H226" s="358">
        <v>13354</v>
      </c>
      <c r="I226" s="358">
        <v>7788</v>
      </c>
      <c r="J226" s="358">
        <v>0</v>
      </c>
      <c r="K226" s="358">
        <v>0</v>
      </c>
      <c r="L226" s="358">
        <v>390</v>
      </c>
      <c r="M226" s="358">
        <v>0</v>
      </c>
      <c r="N226" s="358">
        <v>0</v>
      </c>
      <c r="O226" s="358">
        <v>1640</v>
      </c>
      <c r="P226" s="358">
        <v>0</v>
      </c>
      <c r="Q226" s="358">
        <v>800350</v>
      </c>
      <c r="R226" s="358">
        <v>597394</v>
      </c>
      <c r="S226" s="358">
        <v>144695</v>
      </c>
      <c r="T226" s="358">
        <v>38424</v>
      </c>
      <c r="U226" s="358">
        <v>19837</v>
      </c>
      <c r="V226" s="358">
        <v>1158</v>
      </c>
      <c r="W226" s="358">
        <v>53912</v>
      </c>
      <c r="X226" s="358">
        <v>48427</v>
      </c>
      <c r="Y226" s="358">
        <v>146743</v>
      </c>
      <c r="Z226" s="358">
        <v>6259363</v>
      </c>
      <c r="AA226" s="358">
        <v>0</v>
      </c>
      <c r="AB226" s="358">
        <v>0</v>
      </c>
      <c r="AC226" s="358">
        <v>6259363</v>
      </c>
      <c r="AD226" s="358">
        <v>6259363</v>
      </c>
    </row>
  </sheetData>
  <sheetProtection/>
  <mergeCells count="19">
    <mergeCell ref="Q5:Q6"/>
    <mergeCell ref="B5:B6"/>
    <mergeCell ref="V5:V6"/>
    <mergeCell ref="AC5:AC6"/>
    <mergeCell ref="AB5:AB6"/>
    <mergeCell ref="Z5:Z6"/>
    <mergeCell ref="X5:X6"/>
    <mergeCell ref="W5:W6"/>
    <mergeCell ref="Y5:Y6"/>
    <mergeCell ref="AA5:AA6"/>
    <mergeCell ref="A182:C182"/>
    <mergeCell ref="D5:D6"/>
    <mergeCell ref="G1:M1"/>
    <mergeCell ref="A5:A6"/>
    <mergeCell ref="C5:C6"/>
    <mergeCell ref="E5:E6"/>
    <mergeCell ref="F5:P5"/>
    <mergeCell ref="B2:V2"/>
    <mergeCell ref="R5:U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1">
      <selection activeCell="X17" sqref="X17"/>
    </sheetView>
  </sheetViews>
  <sheetFormatPr defaultColWidth="9.140625" defaultRowHeight="12.75"/>
  <cols>
    <col min="1" max="1" width="3.28125" style="0" customWidth="1"/>
    <col min="2" max="2" width="34.140625" style="0" customWidth="1"/>
    <col min="13" max="14" width="0" style="0" hidden="1" customWidth="1"/>
    <col min="16" max="16" width="0" style="0" hidden="1" customWidth="1"/>
    <col min="18" max="18" width="0" style="0" hidden="1" customWidth="1"/>
  </cols>
  <sheetData>
    <row r="2" spans="2:19" ht="13.5" thickBot="1">
      <c r="B2" s="436" t="s">
        <v>124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163" t="s">
        <v>58</v>
      </c>
    </row>
    <row r="3" spans="2:19" ht="13.5" thickBot="1">
      <c r="B3" s="437" t="s">
        <v>125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9"/>
    </row>
    <row r="4" spans="1:19" ht="124.5" thickBot="1">
      <c r="A4" s="164" t="s">
        <v>126</v>
      </c>
      <c r="B4" s="165" t="s">
        <v>59</v>
      </c>
      <c r="C4" s="166" t="s">
        <v>127</v>
      </c>
      <c r="D4" s="167" t="s">
        <v>128</v>
      </c>
      <c r="E4" s="168" t="s">
        <v>129</v>
      </c>
      <c r="F4" s="169" t="s">
        <v>130</v>
      </c>
      <c r="G4" s="170" t="s">
        <v>131</v>
      </c>
      <c r="H4" s="171" t="s">
        <v>132</v>
      </c>
      <c r="I4" s="171" t="s">
        <v>133</v>
      </c>
      <c r="J4" s="171" t="s">
        <v>134</v>
      </c>
      <c r="K4" s="172" t="s">
        <v>135</v>
      </c>
      <c r="L4" s="173" t="s">
        <v>136</v>
      </c>
      <c r="M4" s="174" t="s">
        <v>137</v>
      </c>
      <c r="N4" s="175" t="s">
        <v>138</v>
      </c>
      <c r="O4" s="176" t="s">
        <v>139</v>
      </c>
      <c r="P4" s="176" t="s">
        <v>140</v>
      </c>
      <c r="Q4" s="177" t="s">
        <v>141</v>
      </c>
      <c r="R4" s="178" t="s">
        <v>142</v>
      </c>
      <c r="S4" s="179" t="s">
        <v>169</v>
      </c>
    </row>
    <row r="5" spans="1:19" ht="13.5" thickBot="1">
      <c r="A5" s="180">
        <v>1</v>
      </c>
      <c r="B5" s="181">
        <v>2</v>
      </c>
      <c r="C5" s="182">
        <v>3</v>
      </c>
      <c r="D5" s="183">
        <v>4</v>
      </c>
      <c r="E5" s="184">
        <v>5</v>
      </c>
      <c r="F5" s="185">
        <v>6</v>
      </c>
      <c r="G5" s="186">
        <v>7</v>
      </c>
      <c r="H5" s="187">
        <v>8</v>
      </c>
      <c r="I5" s="188">
        <v>9</v>
      </c>
      <c r="J5" s="189">
        <v>10</v>
      </c>
      <c r="K5" s="190">
        <v>11</v>
      </c>
      <c r="L5" s="191">
        <v>12</v>
      </c>
      <c r="M5" s="192"/>
      <c r="N5" s="193"/>
      <c r="O5" s="194">
        <v>13</v>
      </c>
      <c r="P5" s="195"/>
      <c r="Q5" s="196">
        <v>14</v>
      </c>
      <c r="R5" s="197">
        <v>8</v>
      </c>
      <c r="S5" s="198">
        <v>15</v>
      </c>
    </row>
    <row r="6" spans="1:19" ht="12.75">
      <c r="A6" s="199">
        <v>1</v>
      </c>
      <c r="B6" s="200" t="s">
        <v>143</v>
      </c>
      <c r="C6" s="201">
        <v>672</v>
      </c>
      <c r="D6" s="202">
        <v>688468</v>
      </c>
      <c r="E6" s="203">
        <v>10000</v>
      </c>
      <c r="F6" s="204">
        <f>D6+E6</f>
        <v>698468</v>
      </c>
      <c r="G6" s="205">
        <v>96096</v>
      </c>
      <c r="H6" s="206">
        <v>82491</v>
      </c>
      <c r="I6" s="206">
        <v>6599</v>
      </c>
      <c r="J6" s="207">
        <f>H6+I6</f>
        <v>89090</v>
      </c>
      <c r="K6" s="208">
        <v>96096</v>
      </c>
      <c r="L6" s="209">
        <v>75288</v>
      </c>
      <c r="M6" s="210">
        <v>14405</v>
      </c>
      <c r="N6" s="211">
        <f>L6+M6</f>
        <v>89693</v>
      </c>
      <c r="O6" s="212">
        <f aca="true" t="shared" si="0" ref="O6:O29">P6-Z6</f>
        <v>89693</v>
      </c>
      <c r="P6" s="213">
        <v>89693</v>
      </c>
      <c r="Q6" s="214">
        <f aca="true" t="shared" si="1" ref="Q6:Q29">R6-D6</f>
        <v>25913</v>
      </c>
      <c r="R6" s="215">
        <v>714381</v>
      </c>
      <c r="S6" s="216">
        <f>F6+K6+O6+Q6</f>
        <v>910170</v>
      </c>
    </row>
    <row r="7" spans="1:19" ht="12.75">
      <c r="A7" s="217">
        <v>2</v>
      </c>
      <c r="B7" s="200" t="s">
        <v>144</v>
      </c>
      <c r="C7" s="218">
        <v>572</v>
      </c>
      <c r="D7" s="219">
        <v>738552</v>
      </c>
      <c r="E7" s="220">
        <v>20000</v>
      </c>
      <c r="F7" s="221">
        <f aca="true" t="shared" si="2" ref="F7:F30">D7+E7</f>
        <v>758552</v>
      </c>
      <c r="G7" s="222">
        <v>81796</v>
      </c>
      <c r="H7" s="223">
        <v>75182</v>
      </c>
      <c r="I7" s="223">
        <v>6015</v>
      </c>
      <c r="J7" s="223">
        <f aca="true" t="shared" si="3" ref="J7:J29">H7+I7</f>
        <v>81197</v>
      </c>
      <c r="K7" s="221">
        <v>81796</v>
      </c>
      <c r="L7" s="224">
        <v>59381</v>
      </c>
      <c r="M7" s="225">
        <v>26296</v>
      </c>
      <c r="N7" s="226">
        <f aca="true" t="shared" si="4" ref="N7:N29">L7+M7</f>
        <v>85677</v>
      </c>
      <c r="O7" s="212">
        <f t="shared" si="0"/>
        <v>85677</v>
      </c>
      <c r="P7" s="227">
        <v>85677</v>
      </c>
      <c r="Q7" s="228">
        <f t="shared" si="1"/>
        <v>22056</v>
      </c>
      <c r="R7" s="229">
        <v>760608</v>
      </c>
      <c r="S7" s="216">
        <f aca="true" t="shared" si="5" ref="S7:S29">F7+K7+O7+Q7</f>
        <v>948081</v>
      </c>
    </row>
    <row r="8" spans="1:19" ht="12.75">
      <c r="A8" s="230">
        <v>3</v>
      </c>
      <c r="B8" s="231" t="s">
        <v>145</v>
      </c>
      <c r="C8" s="232">
        <v>109</v>
      </c>
      <c r="D8" s="233">
        <v>103633</v>
      </c>
      <c r="E8" s="234"/>
      <c r="F8" s="235">
        <f t="shared" si="2"/>
        <v>103633</v>
      </c>
      <c r="G8" s="236">
        <v>7794</v>
      </c>
      <c r="H8" s="237">
        <v>7131</v>
      </c>
      <c r="I8" s="237"/>
      <c r="J8" s="238">
        <f t="shared" si="3"/>
        <v>7131</v>
      </c>
      <c r="K8" s="235">
        <v>7794</v>
      </c>
      <c r="L8" s="236">
        <v>11901</v>
      </c>
      <c r="M8" s="239"/>
      <c r="N8" s="240">
        <f t="shared" si="4"/>
        <v>11901</v>
      </c>
      <c r="O8" s="238">
        <f t="shared" si="0"/>
        <v>11901</v>
      </c>
      <c r="P8" s="241">
        <v>11901</v>
      </c>
      <c r="Q8" s="242">
        <f t="shared" si="1"/>
        <v>4203</v>
      </c>
      <c r="R8" s="243">
        <v>107836</v>
      </c>
      <c r="S8" s="244">
        <f t="shared" si="5"/>
        <v>127531</v>
      </c>
    </row>
    <row r="9" spans="1:19" ht="12.75">
      <c r="A9" s="245">
        <v>4</v>
      </c>
      <c r="B9" s="246" t="s">
        <v>146</v>
      </c>
      <c r="C9" s="247">
        <v>152</v>
      </c>
      <c r="D9" s="248">
        <v>141015</v>
      </c>
      <c r="E9" s="249"/>
      <c r="F9" s="235">
        <f t="shared" si="2"/>
        <v>141015</v>
      </c>
      <c r="G9" s="250">
        <v>10868</v>
      </c>
      <c r="H9" s="251">
        <v>9585</v>
      </c>
      <c r="I9" s="251"/>
      <c r="J9" s="238">
        <f t="shared" si="3"/>
        <v>9585</v>
      </c>
      <c r="K9" s="235">
        <v>10868</v>
      </c>
      <c r="L9" s="236">
        <v>19240</v>
      </c>
      <c r="M9" s="239"/>
      <c r="N9" s="240">
        <f t="shared" si="4"/>
        <v>19240</v>
      </c>
      <c r="O9" s="238">
        <f t="shared" si="0"/>
        <v>19240</v>
      </c>
      <c r="P9" s="241">
        <v>19240</v>
      </c>
      <c r="Q9" s="242">
        <f t="shared" si="1"/>
        <v>5861</v>
      </c>
      <c r="R9" s="252">
        <v>146876</v>
      </c>
      <c r="S9" s="244">
        <f t="shared" si="5"/>
        <v>176984</v>
      </c>
    </row>
    <row r="10" spans="1:19" ht="12.75">
      <c r="A10" s="245">
        <v>5</v>
      </c>
      <c r="B10" s="246" t="s">
        <v>147</v>
      </c>
      <c r="C10" s="232">
        <v>198</v>
      </c>
      <c r="D10" s="233">
        <v>168647</v>
      </c>
      <c r="E10" s="234"/>
      <c r="F10" s="235">
        <f t="shared" si="2"/>
        <v>168647</v>
      </c>
      <c r="G10" s="236">
        <v>14157</v>
      </c>
      <c r="H10" s="237">
        <v>18390</v>
      </c>
      <c r="I10" s="237"/>
      <c r="J10" s="238">
        <f t="shared" si="3"/>
        <v>18390</v>
      </c>
      <c r="K10" s="235">
        <v>14157</v>
      </c>
      <c r="L10" s="236">
        <v>18543</v>
      </c>
      <c r="M10" s="239"/>
      <c r="N10" s="240">
        <f t="shared" si="4"/>
        <v>18543</v>
      </c>
      <c r="O10" s="238">
        <f t="shared" si="0"/>
        <v>18543</v>
      </c>
      <c r="P10" s="241">
        <v>18543</v>
      </c>
      <c r="Q10" s="242">
        <f t="shared" si="1"/>
        <v>7635</v>
      </c>
      <c r="R10" s="243">
        <v>176282</v>
      </c>
      <c r="S10" s="244">
        <f t="shared" si="5"/>
        <v>208982</v>
      </c>
    </row>
    <row r="11" spans="1:19" ht="12.75">
      <c r="A11" s="253">
        <v>6</v>
      </c>
      <c r="B11" s="200" t="s">
        <v>148</v>
      </c>
      <c r="C11" s="254">
        <v>206</v>
      </c>
      <c r="D11" s="255">
        <v>198930</v>
      </c>
      <c r="E11" s="256"/>
      <c r="F11" s="221">
        <f t="shared" si="2"/>
        <v>198930</v>
      </c>
      <c r="G11" s="257">
        <v>21093</v>
      </c>
      <c r="H11" s="258">
        <v>19410</v>
      </c>
      <c r="I11" s="258">
        <v>1553</v>
      </c>
      <c r="J11" s="223">
        <f t="shared" si="3"/>
        <v>20963</v>
      </c>
      <c r="K11" s="221">
        <v>21093</v>
      </c>
      <c r="L11" s="259">
        <v>17562</v>
      </c>
      <c r="M11" s="225">
        <v>1509</v>
      </c>
      <c r="N11" s="226">
        <f t="shared" si="4"/>
        <v>19071</v>
      </c>
      <c r="O11" s="212">
        <f t="shared" si="0"/>
        <v>19071</v>
      </c>
      <c r="P11" s="227">
        <v>19071</v>
      </c>
      <c r="Q11" s="228">
        <f t="shared" si="1"/>
        <v>7943</v>
      </c>
      <c r="R11" s="260">
        <v>206873</v>
      </c>
      <c r="S11" s="216">
        <f t="shared" si="5"/>
        <v>247037</v>
      </c>
    </row>
    <row r="12" spans="1:19" ht="12.75">
      <c r="A12" s="253">
        <v>7</v>
      </c>
      <c r="B12" s="200" t="s">
        <v>92</v>
      </c>
      <c r="C12" s="254">
        <v>42</v>
      </c>
      <c r="D12" s="255">
        <v>141070</v>
      </c>
      <c r="E12" s="256"/>
      <c r="F12" s="221">
        <f t="shared" si="2"/>
        <v>141070</v>
      </c>
      <c r="G12" s="257">
        <v>6006</v>
      </c>
      <c r="H12" s="258">
        <v>16557</v>
      </c>
      <c r="I12" s="258">
        <v>1325</v>
      </c>
      <c r="J12" s="223">
        <f t="shared" si="3"/>
        <v>17882</v>
      </c>
      <c r="K12" s="221">
        <v>6006</v>
      </c>
      <c r="L12" s="259">
        <v>40571</v>
      </c>
      <c r="M12" s="225">
        <v>6604</v>
      </c>
      <c r="N12" s="226">
        <f t="shared" si="4"/>
        <v>47175</v>
      </c>
      <c r="O12" s="212">
        <f t="shared" si="0"/>
        <v>47175</v>
      </c>
      <c r="P12" s="227">
        <v>47175</v>
      </c>
      <c r="Q12" s="228">
        <f t="shared" si="1"/>
        <v>1620</v>
      </c>
      <c r="R12" s="260">
        <v>142690</v>
      </c>
      <c r="S12" s="216">
        <f t="shared" si="5"/>
        <v>195871</v>
      </c>
    </row>
    <row r="13" spans="1:19" ht="12.75">
      <c r="A13" s="253">
        <v>8</v>
      </c>
      <c r="B13" s="261" t="s">
        <v>85</v>
      </c>
      <c r="C13" s="254">
        <v>265</v>
      </c>
      <c r="D13" s="255">
        <v>367981</v>
      </c>
      <c r="E13" s="256"/>
      <c r="F13" s="221">
        <f t="shared" si="2"/>
        <v>367981</v>
      </c>
      <c r="G13" s="257">
        <v>37895</v>
      </c>
      <c r="H13" s="258">
        <v>39206</v>
      </c>
      <c r="I13" s="258">
        <v>3136</v>
      </c>
      <c r="J13" s="223">
        <f t="shared" si="3"/>
        <v>42342</v>
      </c>
      <c r="K13" s="221">
        <v>42342</v>
      </c>
      <c r="L13" s="259">
        <v>39540</v>
      </c>
      <c r="M13" s="225">
        <v>4588</v>
      </c>
      <c r="N13" s="226">
        <f t="shared" si="4"/>
        <v>44128</v>
      </c>
      <c r="O13" s="212">
        <f t="shared" si="0"/>
        <v>44128</v>
      </c>
      <c r="P13" s="227">
        <v>44128</v>
      </c>
      <c r="Q13" s="228">
        <f t="shared" si="1"/>
        <v>10218</v>
      </c>
      <c r="R13" s="260">
        <v>378199</v>
      </c>
      <c r="S13" s="216">
        <f t="shared" si="5"/>
        <v>464669</v>
      </c>
    </row>
    <row r="14" spans="1:19" ht="12.75">
      <c r="A14" s="245">
        <v>9</v>
      </c>
      <c r="B14" s="246" t="s">
        <v>149</v>
      </c>
      <c r="C14" s="232">
        <v>68</v>
      </c>
      <c r="D14" s="233">
        <v>69263</v>
      </c>
      <c r="E14" s="234"/>
      <c r="F14" s="235">
        <f t="shared" si="2"/>
        <v>69263</v>
      </c>
      <c r="G14" s="236">
        <v>4862</v>
      </c>
      <c r="H14" s="237">
        <v>4534</v>
      </c>
      <c r="I14" s="237"/>
      <c r="J14" s="238">
        <f t="shared" si="3"/>
        <v>4534</v>
      </c>
      <c r="K14" s="235">
        <v>4862</v>
      </c>
      <c r="L14" s="236">
        <v>7604</v>
      </c>
      <c r="M14" s="239"/>
      <c r="N14" s="240">
        <f t="shared" si="4"/>
        <v>7604</v>
      </c>
      <c r="O14" s="238">
        <f t="shared" si="0"/>
        <v>7604</v>
      </c>
      <c r="P14" s="241">
        <v>7604</v>
      </c>
      <c r="Q14" s="242">
        <f t="shared" si="1"/>
        <v>2622</v>
      </c>
      <c r="R14" s="243">
        <v>71885</v>
      </c>
      <c r="S14" s="244">
        <f t="shared" si="5"/>
        <v>84351</v>
      </c>
    </row>
    <row r="15" spans="1:19" ht="12.75">
      <c r="A15" s="253">
        <v>10</v>
      </c>
      <c r="B15" s="200" t="s">
        <v>150</v>
      </c>
      <c r="C15" s="254">
        <v>89</v>
      </c>
      <c r="D15" s="255">
        <v>182093</v>
      </c>
      <c r="E15" s="256"/>
      <c r="F15" s="221">
        <f t="shared" si="2"/>
        <v>182093</v>
      </c>
      <c r="G15" s="257">
        <v>12227</v>
      </c>
      <c r="H15" s="258">
        <v>13364</v>
      </c>
      <c r="I15" s="258">
        <v>539</v>
      </c>
      <c r="J15" s="223">
        <f t="shared" si="3"/>
        <v>13903</v>
      </c>
      <c r="K15" s="221">
        <v>7280</v>
      </c>
      <c r="L15" s="259">
        <v>11987</v>
      </c>
      <c r="M15" s="225">
        <v>8505</v>
      </c>
      <c r="N15" s="226">
        <f t="shared" si="4"/>
        <v>20492</v>
      </c>
      <c r="O15" s="212">
        <f t="shared" si="0"/>
        <v>20492</v>
      </c>
      <c r="P15" s="227">
        <v>20492</v>
      </c>
      <c r="Q15" s="228">
        <f t="shared" si="1"/>
        <v>3432</v>
      </c>
      <c r="R15" s="260">
        <v>185525</v>
      </c>
      <c r="S15" s="216">
        <f t="shared" si="5"/>
        <v>213297</v>
      </c>
    </row>
    <row r="16" spans="1:19" ht="12.75">
      <c r="A16" s="253">
        <v>11</v>
      </c>
      <c r="B16" s="200" t="s">
        <v>151</v>
      </c>
      <c r="C16" s="254">
        <v>221</v>
      </c>
      <c r="D16" s="255">
        <v>363850</v>
      </c>
      <c r="E16" s="256"/>
      <c r="F16" s="221">
        <f t="shared" si="2"/>
        <v>363850</v>
      </c>
      <c r="G16" s="257">
        <v>31603</v>
      </c>
      <c r="H16" s="258">
        <v>39982</v>
      </c>
      <c r="I16" s="258">
        <v>3199</v>
      </c>
      <c r="J16" s="223">
        <f t="shared" si="3"/>
        <v>43181</v>
      </c>
      <c r="K16" s="221">
        <v>49804</v>
      </c>
      <c r="L16" s="259">
        <v>37418</v>
      </c>
      <c r="M16" s="225">
        <v>8000</v>
      </c>
      <c r="N16" s="226">
        <f t="shared" si="4"/>
        <v>45418</v>
      </c>
      <c r="O16" s="212">
        <f t="shared" si="0"/>
        <v>45418</v>
      </c>
      <c r="P16" s="227">
        <v>45418</v>
      </c>
      <c r="Q16" s="228">
        <f t="shared" si="1"/>
        <v>8522</v>
      </c>
      <c r="R16" s="260">
        <v>372372</v>
      </c>
      <c r="S16" s="216">
        <f t="shared" si="5"/>
        <v>467594</v>
      </c>
    </row>
    <row r="17" spans="1:19" ht="67.5" customHeight="1">
      <c r="A17" s="245">
        <v>12</v>
      </c>
      <c r="B17" s="262" t="s">
        <v>152</v>
      </c>
      <c r="C17" s="232">
        <v>40</v>
      </c>
      <c r="D17" s="233">
        <v>40893</v>
      </c>
      <c r="E17" s="234"/>
      <c r="F17" s="235">
        <f t="shared" si="2"/>
        <v>40893</v>
      </c>
      <c r="G17" s="236">
        <v>2860</v>
      </c>
      <c r="H17" s="237">
        <v>4648</v>
      </c>
      <c r="I17" s="237"/>
      <c r="J17" s="238">
        <f t="shared" si="3"/>
        <v>4648</v>
      </c>
      <c r="K17" s="235">
        <v>2860</v>
      </c>
      <c r="L17" s="236">
        <v>4284</v>
      </c>
      <c r="M17" s="239"/>
      <c r="N17" s="240">
        <f t="shared" si="4"/>
        <v>4284</v>
      </c>
      <c r="O17" s="238">
        <f t="shared" si="0"/>
        <v>4284</v>
      </c>
      <c r="P17" s="241">
        <v>4284</v>
      </c>
      <c r="Q17" s="242">
        <f t="shared" si="1"/>
        <v>1542</v>
      </c>
      <c r="R17" s="243">
        <v>42435</v>
      </c>
      <c r="S17" s="244">
        <f t="shared" si="5"/>
        <v>49579</v>
      </c>
    </row>
    <row r="18" spans="1:19" ht="12.75">
      <c r="A18" s="253">
        <v>13</v>
      </c>
      <c r="B18" s="200" t="s">
        <v>153</v>
      </c>
      <c r="C18" s="254">
        <v>55</v>
      </c>
      <c r="D18" s="255">
        <v>73784</v>
      </c>
      <c r="E18" s="256"/>
      <c r="F18" s="221">
        <f t="shared" si="2"/>
        <v>73784</v>
      </c>
      <c r="G18" s="257">
        <v>5720</v>
      </c>
      <c r="H18" s="258">
        <v>4967</v>
      </c>
      <c r="I18" s="258">
        <v>397</v>
      </c>
      <c r="J18" s="223">
        <f t="shared" si="3"/>
        <v>5364</v>
      </c>
      <c r="K18" s="221">
        <v>5720</v>
      </c>
      <c r="L18" s="259">
        <v>7561</v>
      </c>
      <c r="M18" s="225">
        <v>1653</v>
      </c>
      <c r="N18" s="226">
        <f t="shared" si="4"/>
        <v>9214</v>
      </c>
      <c r="O18" s="212">
        <f t="shared" si="0"/>
        <v>9214</v>
      </c>
      <c r="P18" s="227">
        <v>9214</v>
      </c>
      <c r="Q18" s="228">
        <f t="shared" si="1"/>
        <v>2121</v>
      </c>
      <c r="R18" s="260">
        <v>75905</v>
      </c>
      <c r="S18" s="216">
        <f t="shared" si="5"/>
        <v>90839</v>
      </c>
    </row>
    <row r="19" spans="1:19" ht="12.75">
      <c r="A19" s="253">
        <v>14</v>
      </c>
      <c r="B19" s="200" t="s">
        <v>88</v>
      </c>
      <c r="C19" s="254">
        <v>219</v>
      </c>
      <c r="D19" s="255">
        <v>304621</v>
      </c>
      <c r="E19" s="256">
        <v>5000</v>
      </c>
      <c r="F19" s="221">
        <f t="shared" si="2"/>
        <v>309621</v>
      </c>
      <c r="G19" s="257">
        <v>31317</v>
      </c>
      <c r="H19" s="258">
        <v>35853</v>
      </c>
      <c r="I19" s="258">
        <v>2868</v>
      </c>
      <c r="J19" s="223">
        <f t="shared" si="3"/>
        <v>38721</v>
      </c>
      <c r="K19" s="221">
        <v>38721</v>
      </c>
      <c r="L19" s="259">
        <v>43182</v>
      </c>
      <c r="M19" s="225">
        <v>5102</v>
      </c>
      <c r="N19" s="226">
        <f t="shared" si="4"/>
        <v>48284</v>
      </c>
      <c r="O19" s="212">
        <f t="shared" si="0"/>
        <v>53284</v>
      </c>
      <c r="P19" s="227">
        <v>53284</v>
      </c>
      <c r="Q19" s="228">
        <f t="shared" si="1"/>
        <v>8444</v>
      </c>
      <c r="R19" s="260">
        <v>313065</v>
      </c>
      <c r="S19" s="216">
        <f t="shared" si="5"/>
        <v>410070</v>
      </c>
    </row>
    <row r="20" spans="1:19" ht="12.75">
      <c r="A20" s="263">
        <v>15</v>
      </c>
      <c r="B20" s="264" t="s">
        <v>154</v>
      </c>
      <c r="C20" s="265">
        <v>52</v>
      </c>
      <c r="D20" s="266">
        <v>49954</v>
      </c>
      <c r="E20" s="267"/>
      <c r="F20" s="268">
        <f t="shared" si="2"/>
        <v>49954</v>
      </c>
      <c r="G20" s="269">
        <v>3718</v>
      </c>
      <c r="H20" s="270">
        <v>3280</v>
      </c>
      <c r="I20" s="270"/>
      <c r="J20" s="271">
        <f t="shared" si="3"/>
        <v>3280</v>
      </c>
      <c r="K20" s="268">
        <v>3718</v>
      </c>
      <c r="L20" s="269">
        <v>8562</v>
      </c>
      <c r="M20" s="272"/>
      <c r="N20" s="273">
        <f t="shared" si="4"/>
        <v>8562</v>
      </c>
      <c r="O20" s="271">
        <f t="shared" si="0"/>
        <v>8562</v>
      </c>
      <c r="P20" s="274">
        <v>8562</v>
      </c>
      <c r="Q20" s="275">
        <f t="shared" si="1"/>
        <v>2005</v>
      </c>
      <c r="R20" s="276">
        <v>51959</v>
      </c>
      <c r="S20" s="277">
        <f t="shared" si="5"/>
        <v>64239</v>
      </c>
    </row>
    <row r="21" spans="1:19" ht="12.75">
      <c r="A21" s="253">
        <v>16</v>
      </c>
      <c r="B21" s="200" t="s">
        <v>89</v>
      </c>
      <c r="C21" s="254">
        <v>293</v>
      </c>
      <c r="D21" s="255">
        <v>395141</v>
      </c>
      <c r="E21" s="256"/>
      <c r="F21" s="221">
        <f t="shared" si="2"/>
        <v>395141</v>
      </c>
      <c r="G21" s="257">
        <v>41899</v>
      </c>
      <c r="H21" s="258">
        <v>41604</v>
      </c>
      <c r="I21" s="258">
        <v>3328</v>
      </c>
      <c r="J21" s="223">
        <f t="shared" si="3"/>
        <v>44932</v>
      </c>
      <c r="K21" s="221">
        <v>44932</v>
      </c>
      <c r="L21" s="259">
        <v>35653</v>
      </c>
      <c r="M21" s="225">
        <v>8727</v>
      </c>
      <c r="N21" s="226">
        <f t="shared" si="4"/>
        <v>44380</v>
      </c>
      <c r="O21" s="212">
        <f t="shared" si="0"/>
        <v>46407</v>
      </c>
      <c r="P21" s="227">
        <v>46407</v>
      </c>
      <c r="Q21" s="228">
        <f t="shared" si="1"/>
        <v>11298</v>
      </c>
      <c r="R21" s="260">
        <v>406439</v>
      </c>
      <c r="S21" s="216">
        <f t="shared" si="5"/>
        <v>497778</v>
      </c>
    </row>
    <row r="22" spans="1:19" ht="67.5" customHeight="1">
      <c r="A22" s="253">
        <v>17</v>
      </c>
      <c r="B22" s="278" t="s">
        <v>155</v>
      </c>
      <c r="C22" s="254">
        <v>16</v>
      </c>
      <c r="D22" s="255">
        <v>33822</v>
      </c>
      <c r="E22" s="256"/>
      <c r="F22" s="221">
        <f t="shared" si="2"/>
        <v>33822</v>
      </c>
      <c r="G22" s="257">
        <v>1859</v>
      </c>
      <c r="H22" s="258">
        <v>0</v>
      </c>
      <c r="I22" s="258">
        <v>0</v>
      </c>
      <c r="J22" s="223">
        <f t="shared" si="3"/>
        <v>0</v>
      </c>
      <c r="K22" s="221">
        <v>0</v>
      </c>
      <c r="L22" s="259">
        <v>2027</v>
      </c>
      <c r="M22" s="225">
        <v>0</v>
      </c>
      <c r="N22" s="226">
        <f t="shared" si="4"/>
        <v>2027</v>
      </c>
      <c r="O22" s="212">
        <f t="shared" si="0"/>
        <v>0</v>
      </c>
      <c r="P22" s="227">
        <v>0</v>
      </c>
      <c r="Q22" s="228">
        <f t="shared" si="1"/>
        <v>617</v>
      </c>
      <c r="R22" s="260">
        <v>34439</v>
      </c>
      <c r="S22" s="216">
        <f t="shared" si="5"/>
        <v>34439</v>
      </c>
    </row>
    <row r="23" spans="1:19" ht="12.75">
      <c r="A23" s="245">
        <v>18</v>
      </c>
      <c r="B23" s="246" t="s">
        <v>97</v>
      </c>
      <c r="C23" s="232">
        <v>56</v>
      </c>
      <c r="D23" s="233">
        <v>58578</v>
      </c>
      <c r="E23" s="234"/>
      <c r="F23" s="235">
        <f t="shared" si="2"/>
        <v>58578</v>
      </c>
      <c r="G23" s="236">
        <v>4004</v>
      </c>
      <c r="H23" s="237">
        <v>3628</v>
      </c>
      <c r="I23" s="237"/>
      <c r="J23" s="238">
        <f t="shared" si="3"/>
        <v>3628</v>
      </c>
      <c r="K23" s="235">
        <v>4004</v>
      </c>
      <c r="L23" s="236">
        <v>5759</v>
      </c>
      <c r="M23" s="239"/>
      <c r="N23" s="240">
        <f t="shared" si="4"/>
        <v>5759</v>
      </c>
      <c r="O23" s="238">
        <f t="shared" si="0"/>
        <v>5759</v>
      </c>
      <c r="P23" s="241">
        <v>5759</v>
      </c>
      <c r="Q23" s="242">
        <f t="shared" si="1"/>
        <v>2160</v>
      </c>
      <c r="R23" s="243">
        <v>60738</v>
      </c>
      <c r="S23" s="244">
        <f t="shared" si="5"/>
        <v>70501</v>
      </c>
    </row>
    <row r="24" spans="1:19" ht="12.75">
      <c r="A24" s="253">
        <v>19</v>
      </c>
      <c r="B24" s="200" t="s">
        <v>103</v>
      </c>
      <c r="C24" s="254">
        <v>60</v>
      </c>
      <c r="D24" s="255">
        <v>122703</v>
      </c>
      <c r="E24" s="256"/>
      <c r="F24" s="221">
        <f t="shared" si="2"/>
        <v>122703</v>
      </c>
      <c r="G24" s="257">
        <v>6793</v>
      </c>
      <c r="H24" s="258">
        <v>6311</v>
      </c>
      <c r="I24" s="258">
        <v>505</v>
      </c>
      <c r="J24" s="223">
        <f t="shared" si="3"/>
        <v>6816</v>
      </c>
      <c r="K24" s="221">
        <v>6816</v>
      </c>
      <c r="L24" s="259">
        <v>7928</v>
      </c>
      <c r="M24" s="225">
        <v>7891</v>
      </c>
      <c r="N24" s="226">
        <f t="shared" si="4"/>
        <v>15819</v>
      </c>
      <c r="O24" s="212">
        <f t="shared" si="0"/>
        <v>15819</v>
      </c>
      <c r="P24" s="227">
        <v>15819</v>
      </c>
      <c r="Q24" s="228">
        <f t="shared" si="1"/>
        <v>2313</v>
      </c>
      <c r="R24" s="260">
        <v>125016</v>
      </c>
      <c r="S24" s="216">
        <f t="shared" si="5"/>
        <v>147651</v>
      </c>
    </row>
    <row r="25" spans="1:19" ht="12.75">
      <c r="A25" s="253">
        <v>20</v>
      </c>
      <c r="B25" s="200" t="s">
        <v>77</v>
      </c>
      <c r="C25" s="279">
        <v>359</v>
      </c>
      <c r="D25" s="255">
        <v>378841</v>
      </c>
      <c r="E25" s="256">
        <v>2000</v>
      </c>
      <c r="F25" s="221">
        <f t="shared" si="2"/>
        <v>380841</v>
      </c>
      <c r="G25" s="257">
        <v>50765</v>
      </c>
      <c r="H25" s="258">
        <v>44827</v>
      </c>
      <c r="I25" s="258">
        <v>3586</v>
      </c>
      <c r="J25" s="223">
        <f t="shared" si="3"/>
        <v>48413</v>
      </c>
      <c r="K25" s="221">
        <v>48413</v>
      </c>
      <c r="L25" s="259">
        <v>56067</v>
      </c>
      <c r="M25" s="225">
        <v>4000</v>
      </c>
      <c r="N25" s="226">
        <f t="shared" si="4"/>
        <v>60067</v>
      </c>
      <c r="O25" s="212">
        <f t="shared" si="0"/>
        <v>60067</v>
      </c>
      <c r="P25" s="227">
        <v>60067</v>
      </c>
      <c r="Q25" s="228">
        <f t="shared" si="1"/>
        <v>13843</v>
      </c>
      <c r="R25" s="260">
        <v>392684</v>
      </c>
      <c r="S25" s="216">
        <f t="shared" si="5"/>
        <v>503164</v>
      </c>
    </row>
    <row r="26" spans="1:19" ht="78.75" customHeight="1">
      <c r="A26" s="253">
        <f>+A25+1</f>
        <v>21</v>
      </c>
      <c r="B26" s="278" t="s">
        <v>156</v>
      </c>
      <c r="C26" s="254">
        <v>23</v>
      </c>
      <c r="D26" s="255">
        <v>37941</v>
      </c>
      <c r="E26" s="256"/>
      <c r="F26" s="221">
        <f t="shared" si="2"/>
        <v>37941</v>
      </c>
      <c r="G26" s="257">
        <v>2503</v>
      </c>
      <c r="H26" s="258">
        <v>5258</v>
      </c>
      <c r="I26" s="258">
        <v>421</v>
      </c>
      <c r="J26" s="223">
        <f t="shared" si="3"/>
        <v>5679</v>
      </c>
      <c r="K26" s="221">
        <v>5679</v>
      </c>
      <c r="L26" s="259">
        <v>1907</v>
      </c>
      <c r="M26" s="225">
        <v>-1664</v>
      </c>
      <c r="N26" s="226">
        <f>L26-M26</f>
        <v>3571</v>
      </c>
      <c r="O26" s="212">
        <f t="shared" si="0"/>
        <v>3571</v>
      </c>
      <c r="P26" s="227">
        <v>3571</v>
      </c>
      <c r="Q26" s="228">
        <f t="shared" si="1"/>
        <v>887</v>
      </c>
      <c r="R26" s="260">
        <v>38828</v>
      </c>
      <c r="S26" s="216">
        <f t="shared" si="5"/>
        <v>48078</v>
      </c>
    </row>
    <row r="27" spans="1:19" ht="78.75" customHeight="1">
      <c r="A27" s="253">
        <v>22</v>
      </c>
      <c r="B27" s="278" t="s">
        <v>157</v>
      </c>
      <c r="C27" s="254">
        <v>37</v>
      </c>
      <c r="D27" s="255">
        <v>46436</v>
      </c>
      <c r="E27" s="256"/>
      <c r="F27" s="221">
        <f t="shared" si="2"/>
        <v>46436</v>
      </c>
      <c r="G27" s="257">
        <v>3432</v>
      </c>
      <c r="H27" s="258">
        <v>5258</v>
      </c>
      <c r="I27" s="258">
        <v>421</v>
      </c>
      <c r="J27" s="223">
        <f t="shared" si="3"/>
        <v>5679</v>
      </c>
      <c r="K27" s="221">
        <v>5679</v>
      </c>
      <c r="L27" s="259">
        <v>4685</v>
      </c>
      <c r="M27" s="225">
        <v>-2052</v>
      </c>
      <c r="N27" s="226">
        <f t="shared" si="4"/>
        <v>2633</v>
      </c>
      <c r="O27" s="212">
        <f t="shared" si="0"/>
        <v>2633</v>
      </c>
      <c r="P27" s="227">
        <v>2633</v>
      </c>
      <c r="Q27" s="228">
        <f t="shared" si="1"/>
        <v>1426</v>
      </c>
      <c r="R27" s="260">
        <v>47862</v>
      </c>
      <c r="S27" s="216">
        <f t="shared" si="5"/>
        <v>56174</v>
      </c>
    </row>
    <row r="28" spans="1:19" ht="12.75">
      <c r="A28" s="253">
        <v>23</v>
      </c>
      <c r="B28" s="200" t="s">
        <v>158</v>
      </c>
      <c r="C28" s="254">
        <v>145</v>
      </c>
      <c r="D28" s="255">
        <v>180347</v>
      </c>
      <c r="E28" s="256"/>
      <c r="F28" s="221">
        <f t="shared" si="2"/>
        <v>180347</v>
      </c>
      <c r="G28" s="257">
        <v>20735</v>
      </c>
      <c r="H28" s="258">
        <v>34126</v>
      </c>
      <c r="I28" s="258">
        <v>2730</v>
      </c>
      <c r="J28" s="223">
        <f t="shared" si="3"/>
        <v>36856</v>
      </c>
      <c r="K28" s="221">
        <v>36856</v>
      </c>
      <c r="L28" s="259">
        <v>19511</v>
      </c>
      <c r="M28" s="225">
        <v>14000</v>
      </c>
      <c r="N28" s="226">
        <f t="shared" si="4"/>
        <v>33511</v>
      </c>
      <c r="O28" s="212">
        <f t="shared" si="0"/>
        <v>34981</v>
      </c>
      <c r="P28" s="227">
        <v>34981</v>
      </c>
      <c r="Q28" s="228">
        <f t="shared" si="1"/>
        <v>5591</v>
      </c>
      <c r="R28" s="260">
        <v>185938</v>
      </c>
      <c r="S28" s="216">
        <f t="shared" si="5"/>
        <v>257775</v>
      </c>
    </row>
    <row r="29" spans="1:19" ht="79.5" customHeight="1" thickBot="1">
      <c r="A29" s="280">
        <v>24</v>
      </c>
      <c r="B29" s="281" t="s">
        <v>159</v>
      </c>
      <c r="C29" s="282">
        <v>21</v>
      </c>
      <c r="D29" s="283">
        <v>21429</v>
      </c>
      <c r="E29" s="284"/>
      <c r="F29" s="285">
        <f t="shared" si="2"/>
        <v>21429</v>
      </c>
      <c r="G29" s="286">
        <v>3003</v>
      </c>
      <c r="H29" s="287">
        <v>0</v>
      </c>
      <c r="I29" s="288">
        <v>0</v>
      </c>
      <c r="J29" s="289">
        <f t="shared" si="3"/>
        <v>0</v>
      </c>
      <c r="K29" s="290">
        <v>0</v>
      </c>
      <c r="L29" s="291">
        <v>1470</v>
      </c>
      <c r="M29" s="292">
        <v>0</v>
      </c>
      <c r="N29" s="293">
        <f t="shared" si="4"/>
        <v>1470</v>
      </c>
      <c r="O29" s="294">
        <f t="shared" si="0"/>
        <v>0</v>
      </c>
      <c r="P29" s="295">
        <v>0</v>
      </c>
      <c r="Q29" s="296">
        <f t="shared" si="1"/>
        <v>810</v>
      </c>
      <c r="R29" s="297">
        <v>22239</v>
      </c>
      <c r="S29" s="216">
        <f t="shared" si="5"/>
        <v>22239</v>
      </c>
    </row>
    <row r="30" spans="1:19" ht="13.5" thickBot="1">
      <c r="A30" s="298"/>
      <c r="B30" s="299" t="s">
        <v>123</v>
      </c>
      <c r="C30" s="300">
        <f>SUM(C6:C29)</f>
        <v>3970</v>
      </c>
      <c r="D30" s="301">
        <f aca="true" t="shared" si="6" ref="D30:S30">SUM(D6:D29)</f>
        <v>4907992</v>
      </c>
      <c r="E30" s="301">
        <f t="shared" si="6"/>
        <v>37000</v>
      </c>
      <c r="F30" s="302">
        <f t="shared" si="2"/>
        <v>4944992</v>
      </c>
      <c r="G30" s="301">
        <f t="shared" si="6"/>
        <v>503005</v>
      </c>
      <c r="H30" s="301">
        <f t="shared" si="6"/>
        <v>515592</v>
      </c>
      <c r="I30" s="301">
        <f t="shared" si="6"/>
        <v>36622</v>
      </c>
      <c r="J30" s="301">
        <f t="shared" si="6"/>
        <v>552214</v>
      </c>
      <c r="K30" s="303">
        <f t="shared" si="6"/>
        <v>545496</v>
      </c>
      <c r="L30" s="301">
        <f t="shared" si="6"/>
        <v>537631</v>
      </c>
      <c r="M30" s="301">
        <f t="shared" si="6"/>
        <v>107564</v>
      </c>
      <c r="N30" s="301">
        <f t="shared" si="6"/>
        <v>648523</v>
      </c>
      <c r="O30" s="301">
        <f>SUM(O6:O29)</f>
        <v>653523</v>
      </c>
      <c r="P30" s="303">
        <f t="shared" si="6"/>
        <v>653523</v>
      </c>
      <c r="Q30" s="304">
        <f t="shared" si="6"/>
        <v>153082</v>
      </c>
      <c r="R30" s="305">
        <f t="shared" si="6"/>
        <v>5061074</v>
      </c>
      <c r="S30" s="306">
        <f t="shared" si="6"/>
        <v>6297093</v>
      </c>
    </row>
    <row r="31" spans="1:19" ht="13.5" thickBot="1">
      <c r="A31" s="307"/>
      <c r="B31" s="308" t="s">
        <v>160</v>
      </c>
      <c r="C31" s="308"/>
      <c r="D31" s="309">
        <f>D6+D7+D11+D12+D13+D15+D16+D18+D19+D21+D22+SUM(D24:D29)</f>
        <v>4276009</v>
      </c>
      <c r="E31" s="309">
        <f aca="true" t="shared" si="7" ref="E31:S31">E6+E7+E11+E12+E13+E15+E16+E18+E19+E21+E22+SUM(E24:E29)</f>
        <v>37000</v>
      </c>
      <c r="F31" s="310">
        <f t="shared" si="7"/>
        <v>4313009</v>
      </c>
      <c r="G31" s="309">
        <f t="shared" si="7"/>
        <v>454742</v>
      </c>
      <c r="H31" s="309">
        <f t="shared" si="7"/>
        <v>464396</v>
      </c>
      <c r="I31" s="309">
        <f t="shared" si="7"/>
        <v>36622</v>
      </c>
      <c r="J31" s="309">
        <f t="shared" si="7"/>
        <v>501018</v>
      </c>
      <c r="K31" s="311">
        <f t="shared" si="7"/>
        <v>497233</v>
      </c>
      <c r="L31" s="312">
        <f t="shared" si="7"/>
        <v>461738</v>
      </c>
      <c r="M31" s="309">
        <f t="shared" si="7"/>
        <v>107564</v>
      </c>
      <c r="N31" s="309">
        <f t="shared" si="7"/>
        <v>572630</v>
      </c>
      <c r="O31" s="309">
        <f>O6+O7+O11+O12+O13+O15+O16+O18+O19+O21+O22+SUM(O24:O29)</f>
        <v>577630</v>
      </c>
      <c r="P31" s="313">
        <f t="shared" si="7"/>
        <v>577630</v>
      </c>
      <c r="Q31" s="314">
        <f t="shared" si="7"/>
        <v>127054</v>
      </c>
      <c r="R31" s="309">
        <f t="shared" si="7"/>
        <v>4403063</v>
      </c>
      <c r="S31" s="309">
        <f t="shared" si="7"/>
        <v>5514926</v>
      </c>
    </row>
    <row r="32" ht="12.75">
      <c r="R32" s="9"/>
    </row>
    <row r="33" spans="2:19" ht="12.75">
      <c r="B33" s="315" t="s">
        <v>161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16">
        <v>76424</v>
      </c>
    </row>
    <row r="34" spans="2:19" ht="12.75">
      <c r="B34" s="315" t="s">
        <v>162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17">
        <v>8300</v>
      </c>
    </row>
    <row r="35" spans="2:19" ht="12.75">
      <c r="B35" s="315" t="s">
        <v>163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27">
        <v>55078</v>
      </c>
    </row>
    <row r="36" spans="2:19" ht="12.75">
      <c r="B36" s="318" t="s">
        <v>164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19">
        <v>6078</v>
      </c>
    </row>
    <row r="37" spans="2:19" ht="12.75">
      <c r="B37" s="318" t="s">
        <v>30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19">
        <v>14000</v>
      </c>
    </row>
    <row r="38" spans="2:19" ht="12.75">
      <c r="B38" s="318" t="s">
        <v>165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19">
        <v>22000</v>
      </c>
    </row>
    <row r="39" spans="2:19" ht="12.75">
      <c r="B39" s="318" t="s">
        <v>94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19">
        <v>13000</v>
      </c>
    </row>
    <row r="40" spans="2:19" ht="13.5" thickBot="1">
      <c r="B40" s="320" t="s">
        <v>166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321">
        <f>S30+SUM(S33:S35)</f>
        <v>6436895</v>
      </c>
    </row>
    <row r="41" spans="2:19" ht="13.5" thickBot="1">
      <c r="B41" s="322" t="s">
        <v>167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4">
        <v>6332900</v>
      </c>
    </row>
    <row r="42" spans="2:19" ht="12.75">
      <c r="B42" s="325" t="s">
        <v>168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26">
        <f>S41-S40</f>
        <v>-103995</v>
      </c>
    </row>
  </sheetData>
  <sheetProtection/>
  <mergeCells count="2">
    <mergeCell ref="B2:R2"/>
    <mergeCell ref="B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.7109375" style="0" customWidth="1"/>
    <col min="2" max="2" width="45.421875" style="0" customWidth="1"/>
    <col min="7" max="7" width="9.57421875" style="0" customWidth="1"/>
  </cols>
  <sheetData>
    <row r="3" spans="1:7" ht="15.75">
      <c r="A3" s="440" t="s">
        <v>110</v>
      </c>
      <c r="B3" s="440"/>
      <c r="C3" s="440"/>
      <c r="D3" s="440"/>
      <c r="E3" s="441"/>
      <c r="F3" s="441"/>
      <c r="G3" s="441"/>
    </row>
    <row r="4" spans="1:7" ht="16.5" thickBot="1">
      <c r="A4" s="442"/>
      <c r="B4" s="442"/>
      <c r="C4" s="443"/>
      <c r="D4" s="443"/>
      <c r="E4" s="443"/>
      <c r="F4" s="133"/>
      <c r="G4" s="133"/>
    </row>
    <row r="5" spans="1:7" ht="12.75">
      <c r="A5" s="444" t="s">
        <v>111</v>
      </c>
      <c r="B5" s="446" t="s">
        <v>112</v>
      </c>
      <c r="C5" s="448" t="s">
        <v>113</v>
      </c>
      <c r="D5" s="449"/>
      <c r="E5" s="450" t="s">
        <v>114</v>
      </c>
      <c r="F5" s="452" t="s">
        <v>115</v>
      </c>
      <c r="G5" s="454" t="s">
        <v>116</v>
      </c>
    </row>
    <row r="6" spans="1:7" ht="48.75" thickBot="1">
      <c r="A6" s="445"/>
      <c r="B6" s="447"/>
      <c r="C6" s="134" t="s">
        <v>117</v>
      </c>
      <c r="D6" s="135" t="s">
        <v>118</v>
      </c>
      <c r="E6" s="451"/>
      <c r="F6" s="453"/>
      <c r="G6" s="455"/>
    </row>
    <row r="7" spans="1:7" ht="13.5" thickBot="1">
      <c r="A7" s="136">
        <v>1</v>
      </c>
      <c r="B7" s="137" t="s">
        <v>119</v>
      </c>
      <c r="C7" s="138">
        <v>19.29</v>
      </c>
      <c r="D7" s="139">
        <v>24818</v>
      </c>
      <c r="E7" s="139">
        <f aca="true" t="shared" si="0" ref="E7:E12">D7*12</f>
        <v>297816</v>
      </c>
      <c r="F7" s="140">
        <v>15889</v>
      </c>
      <c r="G7" s="141">
        <v>15662</v>
      </c>
    </row>
    <row r="8" spans="1:7" ht="13.5" thickBot="1">
      <c r="A8" s="142">
        <v>2</v>
      </c>
      <c r="B8" s="143" t="s">
        <v>94</v>
      </c>
      <c r="C8" s="144">
        <v>5.94</v>
      </c>
      <c r="D8" s="145">
        <v>6903</v>
      </c>
      <c r="E8" s="139">
        <f t="shared" si="0"/>
        <v>82836</v>
      </c>
      <c r="F8" s="146">
        <v>4420</v>
      </c>
      <c r="G8" s="147">
        <v>4357</v>
      </c>
    </row>
    <row r="9" spans="1:7" ht="17.25" customHeight="1" thickBot="1">
      <c r="A9" s="142">
        <v>3</v>
      </c>
      <c r="B9" s="148" t="s">
        <v>97</v>
      </c>
      <c r="C9" s="144">
        <v>3.32</v>
      </c>
      <c r="D9" s="145">
        <v>4348</v>
      </c>
      <c r="E9" s="139">
        <f t="shared" si="0"/>
        <v>52176</v>
      </c>
      <c r="F9" s="146">
        <v>2784</v>
      </c>
      <c r="G9" s="147">
        <v>2744</v>
      </c>
    </row>
    <row r="10" spans="1:7" ht="13.5" customHeight="1" thickBot="1">
      <c r="A10" s="142">
        <v>4</v>
      </c>
      <c r="B10" s="149" t="s">
        <v>120</v>
      </c>
      <c r="C10" s="144">
        <v>2.68</v>
      </c>
      <c r="D10" s="145">
        <v>3274</v>
      </c>
      <c r="E10" s="139">
        <f t="shared" si="0"/>
        <v>39288</v>
      </c>
      <c r="F10" s="146">
        <v>2096</v>
      </c>
      <c r="G10" s="147">
        <v>2066</v>
      </c>
    </row>
    <row r="11" spans="1:7" ht="15.75" customHeight="1" thickBot="1">
      <c r="A11" s="142">
        <v>5</v>
      </c>
      <c r="B11" s="149" t="s">
        <v>121</v>
      </c>
      <c r="C11" s="144">
        <v>3</v>
      </c>
      <c r="D11" s="145">
        <v>3913</v>
      </c>
      <c r="E11" s="139">
        <f t="shared" si="0"/>
        <v>46956</v>
      </c>
      <c r="F11" s="146">
        <v>2505</v>
      </c>
      <c r="G11" s="147">
        <v>2469</v>
      </c>
    </row>
    <row r="12" spans="1:7" ht="15.75" customHeight="1" thickBot="1">
      <c r="A12" s="150">
        <v>6</v>
      </c>
      <c r="B12" s="151" t="s">
        <v>122</v>
      </c>
      <c r="C12" s="152">
        <v>2.11</v>
      </c>
      <c r="D12" s="153">
        <v>2664</v>
      </c>
      <c r="E12" s="154">
        <f t="shared" si="0"/>
        <v>31968</v>
      </c>
      <c r="F12" s="155">
        <v>1706</v>
      </c>
      <c r="G12" s="156">
        <v>1682</v>
      </c>
    </row>
    <row r="13" spans="1:7" ht="15.75" thickBot="1">
      <c r="A13" s="157"/>
      <c r="B13" s="158" t="s">
        <v>123</v>
      </c>
      <c r="C13" s="159">
        <f>SUM(C7:C12)</f>
        <v>36.34</v>
      </c>
      <c r="D13" s="160">
        <f>SUM(D7:D12)</f>
        <v>45920</v>
      </c>
      <c r="E13" s="160">
        <f>SUM(E7:E12)</f>
        <v>551040</v>
      </c>
      <c r="F13" s="161">
        <f>SUM(F7:F12)</f>
        <v>29400</v>
      </c>
      <c r="G13" s="162">
        <f>SUM(G7:G12)</f>
        <v>28980</v>
      </c>
    </row>
  </sheetData>
  <sheetProtection/>
  <mergeCells count="8">
    <mergeCell ref="A3:G3"/>
    <mergeCell ref="A4:E4"/>
    <mergeCell ref="A5:A6"/>
    <mergeCell ref="B5:B6"/>
    <mergeCell ref="C5:D5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Ramutė Balčiūnienė</dc:creator>
  <cp:keywords/>
  <dc:description/>
  <cp:lastModifiedBy>Giedrė Kunigelienė</cp:lastModifiedBy>
  <cp:lastPrinted>2019-01-21T12:35:58Z</cp:lastPrinted>
  <dcterms:created xsi:type="dcterms:W3CDTF">2009-10-21T07:37:17Z</dcterms:created>
  <dcterms:modified xsi:type="dcterms:W3CDTF">2019-02-12T11:57:59Z</dcterms:modified>
  <cp:category/>
  <cp:version/>
  <cp:contentType/>
  <cp:contentStatus/>
</cp:coreProperties>
</file>